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부서공유함\광주전남지역본부 관리부\계약\계약(공사 및 용역)\2026\2026계약\(26.9.30) 사옥 이산화탄소 소화설비 교체공사(서영식)\1. 계약의뢰\관련서류\"/>
    </mc:Choice>
  </mc:AlternateContent>
  <bookViews>
    <workbookView xWindow="0" yWindow="0" windowWidth="21570" windowHeight="9525"/>
  </bookViews>
  <sheets>
    <sheet name="원가계산서" sheetId="10" r:id="rId1"/>
    <sheet name="공종별집계표" sheetId="9" r:id="rId2"/>
    <sheet name="공종별내역서(소방전기)" sheetId="8" r:id="rId3"/>
    <sheet name="공종별내역서(할로겐)" sheetId="13" r:id="rId4"/>
    <sheet name="공종별내역서(철거)" sheetId="14" r:id="rId5"/>
    <sheet name="일위대가목록" sheetId="7" r:id="rId6"/>
    <sheet name="일위대가" sheetId="6" r:id="rId7"/>
    <sheet name="공량산출근거서" sheetId="11" state="hidden" r:id="rId8"/>
    <sheet name="산출조사서(소방전기)" sheetId="12" r:id="rId9"/>
    <sheet name="공량설정" sheetId="3" state="hidden" r:id="rId10"/>
    <sheet name=" 공사설정 " sheetId="2" state="hidden" r:id="rId11"/>
    <sheet name="수량산출서(소방기계)" sheetId="17" r:id="rId12"/>
    <sheet name="산출조사서(소방기계)" sheetId="15" r:id="rId13"/>
    <sheet name="산출조사서(철거공사)" sheetId="16" r:id="rId14"/>
    <sheet name="단가대비표" sheetId="5" r:id="rId15"/>
  </sheets>
  <externalReferences>
    <externalReference r:id="rId16"/>
  </externalReferences>
  <definedNames>
    <definedName name="_xlnm._FilterDatabase" localSheetId="8" hidden="1">'산출조사서(소방전기)'!$A$1:$P$157</definedName>
    <definedName name="_xlnm.Print_Area" localSheetId="7">공량산출근거서!$A$1:$P$24</definedName>
    <definedName name="_xlnm.Print_Area" localSheetId="2">'공종별내역서(소방전기)'!$A$1:$M$167</definedName>
    <definedName name="_xlnm.Print_Area" localSheetId="4">'공종별내역서(철거)'!$A$1:$M$166</definedName>
    <definedName name="_xlnm.Print_Area" localSheetId="3">'공종별내역서(할로겐)'!$A$1:$M$166</definedName>
    <definedName name="_xlnm.Print_Area" localSheetId="1">공종별집계표!$A$1:$M$29</definedName>
    <definedName name="_xlnm.Print_Area" localSheetId="14">단가대비표!$A$1:$X$141</definedName>
    <definedName name="_xlnm.Print_Area" localSheetId="6">일위대가!$A$1:$M$188</definedName>
    <definedName name="_xlnm.Print_Area" localSheetId="5">일위대가목록!$A$1:$M$37</definedName>
    <definedName name="_xlnm.Print_Titles" localSheetId="7">공량산출근거서!$1:$3</definedName>
    <definedName name="_xlnm.Print_Titles" localSheetId="2">'공종별내역서(소방전기)'!$1:$3</definedName>
    <definedName name="_xlnm.Print_Titles" localSheetId="4">'공종별내역서(철거)'!$1:$3</definedName>
    <definedName name="_xlnm.Print_Titles" localSheetId="3">'공종별내역서(할로겐)'!$1:$3</definedName>
    <definedName name="_xlnm.Print_Titles" localSheetId="1">공종별집계표!$1:$4</definedName>
    <definedName name="_xlnm.Print_Titles" localSheetId="14">단가대비표!$1:$4</definedName>
    <definedName name="_xlnm.Print_Titles" localSheetId="12">'산출조사서(소방기계)'!$1:$4</definedName>
    <definedName name="_xlnm.Print_Titles" localSheetId="8">'산출조사서(소방전기)'!$1:$2</definedName>
    <definedName name="_xlnm.Print_Titles" localSheetId="13">'산출조사서(철거공사)'!$1:$4</definedName>
    <definedName name="_xlnm.Print_Titles" localSheetId="11">'수량산출서(소방기계)'!$1:$4</definedName>
    <definedName name="_xlnm.Print_Titles" localSheetId="0">원가계산서!$1:$3</definedName>
    <definedName name="_xlnm.Print_Titles" localSheetId="6">일위대가!$1:$3</definedName>
    <definedName name="_xlnm.Print_Titles" localSheetId="5">일위대가목록!$1:$3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5" l="1"/>
  <c r="A2" i="16"/>
  <c r="A2" i="15"/>
  <c r="A2" i="17"/>
  <c r="A2" i="12"/>
  <c r="A1" i="6"/>
  <c r="B2" i="7"/>
  <c r="A1" i="14"/>
  <c r="A1" i="13"/>
  <c r="A1" i="8"/>
  <c r="O35" i="5" l="1"/>
  <c r="I35" i="5"/>
  <c r="K16" i="12" l="1"/>
  <c r="L156" i="12"/>
  <c r="K156" i="12"/>
  <c r="L116" i="12"/>
  <c r="K116" i="12"/>
  <c r="K108" i="12"/>
  <c r="L108" i="12"/>
  <c r="L67" i="12"/>
  <c r="K67" i="12"/>
  <c r="L53" i="12"/>
  <c r="K53" i="12"/>
  <c r="L23" i="12"/>
  <c r="K23" i="12"/>
  <c r="L16" i="12"/>
  <c r="R156" i="12" l="1"/>
  <c r="R116" i="12"/>
  <c r="R108" i="12"/>
  <c r="R67" i="12"/>
  <c r="R53" i="12"/>
  <c r="AW21" i="8"/>
  <c r="R155" i="12" l="1"/>
  <c r="R154" i="12"/>
  <c r="R153" i="12"/>
  <c r="R152" i="12"/>
  <c r="R151" i="12"/>
  <c r="R150" i="12"/>
  <c r="R149" i="12"/>
  <c r="R148" i="12"/>
  <c r="R147" i="12"/>
  <c r="R146" i="12"/>
  <c r="R145" i="12"/>
  <c r="R144" i="12"/>
  <c r="R143" i="12"/>
  <c r="R142" i="12"/>
  <c r="R141" i="12"/>
  <c r="R140" i="12"/>
  <c r="R139" i="12"/>
  <c r="R138" i="12"/>
  <c r="R137" i="12"/>
  <c r="R136" i="12"/>
  <c r="R135" i="12"/>
  <c r="R134" i="12"/>
  <c r="R133" i="12"/>
  <c r="R132" i="12"/>
  <c r="R131" i="12"/>
  <c r="R130" i="12"/>
  <c r="R129" i="12"/>
  <c r="R128" i="12"/>
  <c r="R127" i="12"/>
  <c r="R126" i="12"/>
  <c r="R125" i="12"/>
  <c r="R124" i="12"/>
  <c r="R123" i="12"/>
  <c r="R122" i="12"/>
  <c r="R121" i="12"/>
  <c r="R120" i="12"/>
  <c r="R119" i="12"/>
  <c r="R118" i="12"/>
  <c r="R117" i="12"/>
  <c r="R115" i="12"/>
  <c r="R114" i="12"/>
  <c r="R113" i="12"/>
  <c r="R112" i="12"/>
  <c r="R111" i="12"/>
  <c r="R110" i="12"/>
  <c r="R109" i="12"/>
  <c r="R107" i="12"/>
  <c r="R106" i="12"/>
  <c r="R105" i="12"/>
  <c r="R104" i="12"/>
  <c r="R103" i="12"/>
  <c r="R102" i="12"/>
  <c r="R101" i="12"/>
  <c r="R100" i="12"/>
  <c r="R99" i="12"/>
  <c r="R98" i="12"/>
  <c r="R97" i="12"/>
  <c r="R96" i="12"/>
  <c r="R95" i="12"/>
  <c r="R94" i="12"/>
  <c r="R93" i="12"/>
  <c r="R92" i="12"/>
  <c r="R91" i="12"/>
  <c r="R90" i="12"/>
  <c r="R89" i="12"/>
  <c r="R88" i="12"/>
  <c r="R87" i="12"/>
  <c r="R86" i="12"/>
  <c r="R85" i="12"/>
  <c r="R84" i="12"/>
  <c r="R83" i="12"/>
  <c r="R82" i="12"/>
  <c r="R81" i="12"/>
  <c r="R80" i="12"/>
  <c r="R79" i="12"/>
  <c r="R78" i="12"/>
  <c r="R77" i="12"/>
  <c r="R76" i="12"/>
  <c r="R75" i="12"/>
  <c r="R74" i="12"/>
  <c r="R73" i="12"/>
  <c r="R72" i="12"/>
  <c r="R71" i="12"/>
  <c r="R70" i="12"/>
  <c r="R69" i="12"/>
  <c r="R68" i="12"/>
  <c r="R66" i="12"/>
  <c r="R65" i="12"/>
  <c r="R64" i="12"/>
  <c r="R63" i="12"/>
  <c r="R62" i="12"/>
  <c r="R61" i="12"/>
  <c r="R60" i="12"/>
  <c r="R59" i="12"/>
  <c r="R58" i="12"/>
  <c r="R57" i="12"/>
  <c r="R56" i="12"/>
  <c r="R55" i="12"/>
  <c r="R54" i="12"/>
  <c r="R52" i="12"/>
  <c r="R51" i="12"/>
  <c r="R50" i="12"/>
  <c r="R49" i="12"/>
  <c r="R48" i="12"/>
  <c r="R47" i="12"/>
  <c r="R46" i="12"/>
  <c r="R45" i="12"/>
  <c r="R44" i="12"/>
  <c r="R43" i="12"/>
  <c r="R42" i="12"/>
  <c r="R41" i="12"/>
  <c r="R40" i="12"/>
  <c r="R39" i="12"/>
  <c r="R38" i="12"/>
  <c r="R37" i="12"/>
  <c r="R36" i="12"/>
  <c r="R35" i="12"/>
  <c r="R34" i="12"/>
  <c r="R33" i="12"/>
  <c r="R32" i="12"/>
  <c r="R31" i="12"/>
  <c r="R30" i="12"/>
  <c r="R29" i="12"/>
  <c r="R28" i="12"/>
  <c r="R27" i="12"/>
  <c r="R26" i="12"/>
  <c r="R25" i="12"/>
  <c r="R24" i="12"/>
  <c r="R23" i="12"/>
  <c r="R22" i="12"/>
  <c r="R21" i="12"/>
  <c r="R20" i="12"/>
  <c r="R19" i="12"/>
  <c r="R18" i="12"/>
  <c r="R17" i="12"/>
  <c r="R16" i="12"/>
  <c r="R15" i="12"/>
  <c r="R14" i="12"/>
  <c r="R13" i="12"/>
  <c r="R12" i="12"/>
  <c r="R11" i="12"/>
  <c r="R10" i="12"/>
  <c r="R9" i="12"/>
  <c r="R8" i="12"/>
  <c r="R7" i="12"/>
  <c r="G40" i="16" l="1"/>
  <c r="H40" i="16" s="1"/>
  <c r="K39" i="16"/>
  <c r="J39" i="16"/>
  <c r="H39" i="16"/>
  <c r="G38" i="16"/>
  <c r="H38" i="16" s="1"/>
  <c r="H37" i="16"/>
  <c r="J37" i="16" s="1"/>
  <c r="K37" i="16" s="1"/>
  <c r="G37" i="16"/>
  <c r="J36" i="16"/>
  <c r="H36" i="16"/>
  <c r="K36" i="16" s="1"/>
  <c r="G36" i="16"/>
  <c r="G35" i="16"/>
  <c r="H35" i="16" s="1"/>
  <c r="H34" i="16"/>
  <c r="J34" i="16" s="1"/>
  <c r="K34" i="16" s="1"/>
  <c r="H33" i="16"/>
  <c r="H32" i="16"/>
  <c r="J32" i="16" s="1"/>
  <c r="K32" i="16" s="1"/>
  <c r="H31" i="16"/>
  <c r="G31" i="16"/>
  <c r="G30" i="16"/>
  <c r="H30" i="16" s="1"/>
  <c r="G29" i="16"/>
  <c r="H29" i="16" s="1"/>
  <c r="H28" i="16"/>
  <c r="G28" i="16"/>
  <c r="G27" i="16"/>
  <c r="H27" i="16" s="1"/>
  <c r="G26" i="16"/>
  <c r="H26" i="16" s="1"/>
  <c r="H25" i="16"/>
  <c r="H24" i="16"/>
  <c r="J24" i="16" s="1"/>
  <c r="K24" i="16" s="1"/>
  <c r="H23" i="16"/>
  <c r="H22" i="16"/>
  <c r="J22" i="16" s="1"/>
  <c r="K22" i="16" s="1"/>
  <c r="H21" i="16"/>
  <c r="H20" i="16"/>
  <c r="J20" i="16" s="1"/>
  <c r="K20" i="16" s="1"/>
  <c r="H19" i="16"/>
  <c r="H18" i="16"/>
  <c r="J18" i="16" s="1"/>
  <c r="K18" i="16" s="1"/>
  <c r="H17" i="16"/>
  <c r="H16" i="16"/>
  <c r="J16" i="16" s="1"/>
  <c r="K16" i="16" s="1"/>
  <c r="H15" i="16"/>
  <c r="H14" i="16"/>
  <c r="J14" i="16" s="1"/>
  <c r="K14" i="16" s="1"/>
  <c r="H13" i="16"/>
  <c r="H12" i="16"/>
  <c r="J12" i="16" s="1"/>
  <c r="K12" i="16" s="1"/>
  <c r="H11" i="16"/>
  <c r="H10" i="16"/>
  <c r="J10" i="16" s="1"/>
  <c r="K10" i="16" s="1"/>
  <c r="H9" i="16"/>
  <c r="G9" i="16"/>
  <c r="G8" i="16"/>
  <c r="H8" i="16" s="1"/>
  <c r="G7" i="16"/>
  <c r="H7" i="16" s="1"/>
  <c r="H6" i="16"/>
  <c r="G6" i="16"/>
  <c r="G5" i="16"/>
  <c r="H5" i="16" s="1"/>
  <c r="G391" i="15"/>
  <c r="H391" i="15" s="1"/>
  <c r="G390" i="15"/>
  <c r="H390" i="15" s="1"/>
  <c r="J390" i="15" s="1"/>
  <c r="H389" i="15"/>
  <c r="G389" i="15"/>
  <c r="H388" i="15"/>
  <c r="J387" i="15"/>
  <c r="K387" i="15" s="1"/>
  <c r="H387" i="15"/>
  <c r="H386" i="15"/>
  <c r="K385" i="15"/>
  <c r="J385" i="15"/>
  <c r="H385" i="15"/>
  <c r="H384" i="15"/>
  <c r="J383" i="15"/>
  <c r="K383" i="15" s="1"/>
  <c r="H383" i="15"/>
  <c r="H382" i="15"/>
  <c r="J381" i="15"/>
  <c r="K381" i="15" s="1"/>
  <c r="H381" i="15"/>
  <c r="H380" i="15"/>
  <c r="K379" i="15"/>
  <c r="J379" i="15"/>
  <c r="H379" i="15"/>
  <c r="H378" i="15"/>
  <c r="J377" i="15"/>
  <c r="K377" i="15" s="1"/>
  <c r="H377" i="15"/>
  <c r="G376" i="15"/>
  <c r="H376" i="15" s="1"/>
  <c r="K375" i="15"/>
  <c r="J375" i="15"/>
  <c r="H375" i="15"/>
  <c r="H374" i="15"/>
  <c r="G374" i="15"/>
  <c r="H373" i="15"/>
  <c r="J373" i="15" s="1"/>
  <c r="K373" i="15" s="1"/>
  <c r="H372" i="15"/>
  <c r="G371" i="15"/>
  <c r="H371" i="15" s="1"/>
  <c r="J370" i="15"/>
  <c r="K370" i="15" s="1"/>
  <c r="H370" i="15"/>
  <c r="G370" i="15"/>
  <c r="G369" i="15"/>
  <c r="H369" i="15" s="1"/>
  <c r="G368" i="15"/>
  <c r="H368" i="15" s="1"/>
  <c r="K367" i="15"/>
  <c r="J367" i="15"/>
  <c r="H367" i="15"/>
  <c r="G367" i="15"/>
  <c r="G366" i="15"/>
  <c r="H366" i="15" s="1"/>
  <c r="G365" i="15"/>
  <c r="H365" i="15" s="1"/>
  <c r="K364" i="15"/>
  <c r="J364" i="15"/>
  <c r="H364" i="15"/>
  <c r="H363" i="15"/>
  <c r="J362" i="15"/>
  <c r="K362" i="15" s="1"/>
  <c r="H362" i="15"/>
  <c r="H361" i="15"/>
  <c r="J360" i="15"/>
  <c r="K360" i="15" s="1"/>
  <c r="H360" i="15"/>
  <c r="G359" i="15"/>
  <c r="H359" i="15" s="1"/>
  <c r="K358" i="15"/>
  <c r="J358" i="15"/>
  <c r="H358" i="15"/>
  <c r="H357" i="15"/>
  <c r="K356" i="15"/>
  <c r="J356" i="15"/>
  <c r="H356" i="15"/>
  <c r="H355" i="15"/>
  <c r="K354" i="15"/>
  <c r="J354" i="15"/>
  <c r="H354" i="15"/>
  <c r="H353" i="15"/>
  <c r="K352" i="15"/>
  <c r="J352" i="15"/>
  <c r="H352" i="15"/>
  <c r="H351" i="15"/>
  <c r="K350" i="15"/>
  <c r="J350" i="15"/>
  <c r="H350" i="15"/>
  <c r="H349" i="15"/>
  <c r="G348" i="15"/>
  <c r="H348" i="15" s="1"/>
  <c r="J348" i="15" s="1"/>
  <c r="J347" i="15"/>
  <c r="H347" i="15"/>
  <c r="H346" i="15"/>
  <c r="J346" i="15" s="1"/>
  <c r="K346" i="15" s="1"/>
  <c r="H345" i="15"/>
  <c r="H344" i="15"/>
  <c r="J344" i="15" s="1"/>
  <c r="K344" i="15" s="1"/>
  <c r="J343" i="15"/>
  <c r="H343" i="15"/>
  <c r="H342" i="15"/>
  <c r="J342" i="15" s="1"/>
  <c r="K342" i="15" s="1"/>
  <c r="H341" i="15"/>
  <c r="H340" i="15"/>
  <c r="J340" i="15" s="1"/>
  <c r="K340" i="15" s="1"/>
  <c r="G340" i="15"/>
  <c r="K339" i="15"/>
  <c r="J339" i="15"/>
  <c r="H339" i="15"/>
  <c r="J338" i="15"/>
  <c r="K338" i="15" s="1"/>
  <c r="H338" i="15"/>
  <c r="J337" i="15"/>
  <c r="K337" i="15" s="1"/>
  <c r="H337" i="15"/>
  <c r="G337" i="15"/>
  <c r="H336" i="15"/>
  <c r="K335" i="15"/>
  <c r="J335" i="15"/>
  <c r="H335" i="15"/>
  <c r="H334" i="15"/>
  <c r="G333" i="15"/>
  <c r="H333" i="15" s="1"/>
  <c r="J333" i="15" s="1"/>
  <c r="H332" i="15"/>
  <c r="H331" i="15"/>
  <c r="J331" i="15" s="1"/>
  <c r="K331" i="15" s="1"/>
  <c r="J330" i="15"/>
  <c r="H330" i="15"/>
  <c r="G330" i="15"/>
  <c r="G329" i="15"/>
  <c r="H329" i="15" s="1"/>
  <c r="K328" i="15"/>
  <c r="J328" i="15"/>
  <c r="H328" i="15"/>
  <c r="H327" i="15"/>
  <c r="K326" i="15"/>
  <c r="J326" i="15"/>
  <c r="H326" i="15"/>
  <c r="H325" i="15"/>
  <c r="G324" i="15"/>
  <c r="H324" i="15" s="1"/>
  <c r="J324" i="15" s="1"/>
  <c r="K324" i="15" s="1"/>
  <c r="H323" i="15"/>
  <c r="G323" i="15"/>
  <c r="G322" i="15"/>
  <c r="H322" i="15" s="1"/>
  <c r="G321" i="15"/>
  <c r="H321" i="15" s="1"/>
  <c r="J321" i="15" s="1"/>
  <c r="H320" i="15"/>
  <c r="G320" i="15"/>
  <c r="G319" i="15"/>
  <c r="H319" i="15" s="1"/>
  <c r="G318" i="15"/>
  <c r="H318" i="15" s="1"/>
  <c r="J318" i="15" s="1"/>
  <c r="H317" i="15"/>
  <c r="G317" i="15"/>
  <c r="G316" i="15"/>
  <c r="H316" i="15" s="1"/>
  <c r="G315" i="15"/>
  <c r="H315" i="15" s="1"/>
  <c r="J315" i="15" s="1"/>
  <c r="H314" i="15"/>
  <c r="G314" i="15"/>
  <c r="G313" i="15"/>
  <c r="H313" i="15" s="1"/>
  <c r="G312" i="15"/>
  <c r="H312" i="15" s="1"/>
  <c r="J312" i="15" s="1"/>
  <c r="H311" i="15"/>
  <c r="H310" i="15"/>
  <c r="J310" i="15" s="1"/>
  <c r="K310" i="15" s="1"/>
  <c r="G310" i="15"/>
  <c r="J309" i="15"/>
  <c r="K309" i="15" s="1"/>
  <c r="H309" i="15"/>
  <c r="J308" i="15"/>
  <c r="H308" i="15"/>
  <c r="K308" i="15" s="1"/>
  <c r="K307" i="15"/>
  <c r="J307" i="15"/>
  <c r="H307" i="15"/>
  <c r="G307" i="15"/>
  <c r="G306" i="15"/>
  <c r="H306" i="15" s="1"/>
  <c r="G305" i="15"/>
  <c r="H305" i="15" s="1"/>
  <c r="J304" i="15"/>
  <c r="K304" i="15" s="1"/>
  <c r="H304" i="15"/>
  <c r="G304" i="15"/>
  <c r="G303" i="15"/>
  <c r="H303" i="15" s="1"/>
  <c r="H302" i="15"/>
  <c r="J302" i="15" s="1"/>
  <c r="K302" i="15" s="1"/>
  <c r="G302" i="15"/>
  <c r="J301" i="15"/>
  <c r="K301" i="15" s="1"/>
  <c r="H301" i="15"/>
  <c r="G301" i="15"/>
  <c r="H300" i="15"/>
  <c r="K299" i="15"/>
  <c r="J299" i="15"/>
  <c r="H299" i="15"/>
  <c r="H298" i="15"/>
  <c r="K297" i="15"/>
  <c r="J297" i="15"/>
  <c r="H297" i="15"/>
  <c r="H296" i="15"/>
  <c r="G295" i="15"/>
  <c r="H295" i="15" s="1"/>
  <c r="J294" i="15"/>
  <c r="H294" i="15"/>
  <c r="H293" i="15"/>
  <c r="J293" i="15" s="1"/>
  <c r="K293" i="15" s="1"/>
  <c r="H292" i="15"/>
  <c r="H291" i="15"/>
  <c r="J291" i="15" s="1"/>
  <c r="K291" i="15" s="1"/>
  <c r="J290" i="15"/>
  <c r="H290" i="15"/>
  <c r="H289" i="15"/>
  <c r="J289" i="15" s="1"/>
  <c r="K289" i="15" s="1"/>
  <c r="H288" i="15"/>
  <c r="J287" i="15"/>
  <c r="K287" i="15" s="1"/>
  <c r="H287" i="15"/>
  <c r="H286" i="15"/>
  <c r="J285" i="15"/>
  <c r="K285" i="15" s="1"/>
  <c r="H285" i="15"/>
  <c r="H284" i="15"/>
  <c r="G284" i="15"/>
  <c r="H283" i="15"/>
  <c r="J283" i="15" s="1"/>
  <c r="K283" i="15" s="1"/>
  <c r="J282" i="15"/>
  <c r="K282" i="15" s="1"/>
  <c r="H282" i="15"/>
  <c r="H281" i="15"/>
  <c r="J281" i="15" s="1"/>
  <c r="K281" i="15" s="1"/>
  <c r="J280" i="15"/>
  <c r="K280" i="15" s="1"/>
  <c r="H280" i="15"/>
  <c r="H279" i="15"/>
  <c r="J279" i="15" s="1"/>
  <c r="K279" i="15" s="1"/>
  <c r="K278" i="15"/>
  <c r="J278" i="15"/>
  <c r="G278" i="15"/>
  <c r="H278" i="15" s="1"/>
  <c r="H277" i="15"/>
  <c r="H276" i="15"/>
  <c r="J276" i="15" s="1"/>
  <c r="K276" i="15" s="1"/>
  <c r="G276" i="15"/>
  <c r="J275" i="15"/>
  <c r="H275" i="15"/>
  <c r="J274" i="15"/>
  <c r="K274" i="15" s="1"/>
  <c r="H274" i="15"/>
  <c r="H273" i="15"/>
  <c r="G273" i="15"/>
  <c r="H272" i="15"/>
  <c r="J272" i="15" s="1"/>
  <c r="K272" i="15" s="1"/>
  <c r="K271" i="15"/>
  <c r="J271" i="15"/>
  <c r="H271" i="15"/>
  <c r="H270" i="15"/>
  <c r="J270" i="15" s="1"/>
  <c r="K270" i="15" s="1"/>
  <c r="K269" i="15"/>
  <c r="J269" i="15"/>
  <c r="H269" i="15"/>
  <c r="G269" i="15"/>
  <c r="H268" i="15"/>
  <c r="K267" i="15"/>
  <c r="J267" i="15"/>
  <c r="H267" i="15"/>
  <c r="H266" i="15"/>
  <c r="G266" i="15"/>
  <c r="K265" i="15"/>
  <c r="J265" i="15"/>
  <c r="H265" i="15"/>
  <c r="G265" i="15"/>
  <c r="K264" i="15"/>
  <c r="J264" i="15"/>
  <c r="H264" i="15"/>
  <c r="K263" i="15"/>
  <c r="J263" i="15"/>
  <c r="H263" i="15"/>
  <c r="K262" i="15"/>
  <c r="J262" i="15"/>
  <c r="H262" i="15"/>
  <c r="K261" i="15"/>
  <c r="J261" i="15"/>
  <c r="H261" i="15"/>
  <c r="K260" i="15"/>
  <c r="J260" i="15"/>
  <c r="H260" i="15"/>
  <c r="G260" i="15"/>
  <c r="H259" i="15"/>
  <c r="G259" i="15"/>
  <c r="K258" i="15"/>
  <c r="J258" i="15"/>
  <c r="H258" i="15"/>
  <c r="G258" i="15"/>
  <c r="K257" i="15"/>
  <c r="J257" i="15"/>
  <c r="H257" i="15"/>
  <c r="G257" i="15"/>
  <c r="G256" i="15"/>
  <c r="H256" i="15" s="1"/>
  <c r="K255" i="15"/>
  <c r="J255" i="15"/>
  <c r="H255" i="15"/>
  <c r="G255" i="15"/>
  <c r="J254" i="15"/>
  <c r="K254" i="15" s="1"/>
  <c r="H254" i="15"/>
  <c r="G254" i="15"/>
  <c r="H253" i="15"/>
  <c r="G253" i="15"/>
  <c r="K252" i="15"/>
  <c r="J252" i="15"/>
  <c r="H252" i="15"/>
  <c r="G252" i="15"/>
  <c r="K251" i="15"/>
  <c r="J251" i="15"/>
  <c r="H251" i="15"/>
  <c r="G251" i="15"/>
  <c r="H250" i="15"/>
  <c r="G250" i="15"/>
  <c r="K249" i="15"/>
  <c r="J249" i="15"/>
  <c r="H249" i="15"/>
  <c r="G249" i="15"/>
  <c r="K248" i="15"/>
  <c r="J248" i="15"/>
  <c r="H248" i="15"/>
  <c r="G248" i="15"/>
  <c r="H247" i="15"/>
  <c r="K246" i="15"/>
  <c r="J246" i="15"/>
  <c r="H246" i="15"/>
  <c r="H245" i="15"/>
  <c r="G245" i="15"/>
  <c r="K244" i="15"/>
  <c r="J244" i="15"/>
  <c r="H244" i="15"/>
  <c r="H243" i="15"/>
  <c r="G243" i="15"/>
  <c r="G242" i="15"/>
  <c r="H242" i="15" s="1"/>
  <c r="K241" i="15"/>
  <c r="J241" i="15"/>
  <c r="H241" i="15"/>
  <c r="G241" i="15"/>
  <c r="H240" i="15"/>
  <c r="G240" i="15"/>
  <c r="G239" i="15"/>
  <c r="H239" i="15" s="1"/>
  <c r="K238" i="15"/>
  <c r="J238" i="15"/>
  <c r="H238" i="15"/>
  <c r="G238" i="15"/>
  <c r="J237" i="15"/>
  <c r="H237" i="15"/>
  <c r="G236" i="15"/>
  <c r="H236" i="15" s="1"/>
  <c r="K235" i="15"/>
  <c r="J235" i="15"/>
  <c r="H235" i="15"/>
  <c r="H234" i="15"/>
  <c r="J234" i="15" s="1"/>
  <c r="K234" i="15" s="1"/>
  <c r="K233" i="15"/>
  <c r="J233" i="15"/>
  <c r="H233" i="15"/>
  <c r="G233" i="15"/>
  <c r="G232" i="15"/>
  <c r="H232" i="15" s="1"/>
  <c r="K231" i="15"/>
  <c r="J231" i="15"/>
  <c r="H231" i="15"/>
  <c r="H230" i="15"/>
  <c r="G230" i="15"/>
  <c r="H229" i="15"/>
  <c r="J229" i="15" s="1"/>
  <c r="K229" i="15" s="1"/>
  <c r="J228" i="15"/>
  <c r="K228" i="15" s="1"/>
  <c r="H228" i="15"/>
  <c r="H227" i="15"/>
  <c r="J227" i="15" s="1"/>
  <c r="K227" i="15" s="1"/>
  <c r="J226" i="15"/>
  <c r="K226" i="15" s="1"/>
  <c r="H226" i="15"/>
  <c r="H225" i="15"/>
  <c r="J225" i="15" s="1"/>
  <c r="K225" i="15" s="1"/>
  <c r="J224" i="15"/>
  <c r="K224" i="15" s="1"/>
  <c r="H224" i="15"/>
  <c r="H223" i="15"/>
  <c r="J223" i="15" s="1"/>
  <c r="K223" i="15" s="1"/>
  <c r="J222" i="15"/>
  <c r="K222" i="15" s="1"/>
  <c r="H222" i="15"/>
  <c r="H221" i="15"/>
  <c r="J221" i="15" s="1"/>
  <c r="K221" i="15" s="1"/>
  <c r="J220" i="15"/>
  <c r="K220" i="15" s="1"/>
  <c r="H220" i="15"/>
  <c r="G220" i="15"/>
  <c r="G219" i="15"/>
  <c r="H219" i="15" s="1"/>
  <c r="K218" i="15"/>
  <c r="J218" i="15"/>
  <c r="H218" i="15"/>
  <c r="J217" i="15"/>
  <c r="H217" i="15"/>
  <c r="K216" i="15"/>
  <c r="J216" i="15"/>
  <c r="H216" i="15"/>
  <c r="H215" i="15"/>
  <c r="K214" i="15"/>
  <c r="J214" i="15"/>
  <c r="H214" i="15"/>
  <c r="G214" i="15"/>
  <c r="J213" i="15"/>
  <c r="K213" i="15" s="1"/>
  <c r="H213" i="15"/>
  <c r="K212" i="15"/>
  <c r="J212" i="15"/>
  <c r="H212" i="15"/>
  <c r="J211" i="15"/>
  <c r="K211" i="15" s="1"/>
  <c r="H211" i="15"/>
  <c r="G211" i="15"/>
  <c r="H210" i="15"/>
  <c r="K209" i="15"/>
  <c r="J209" i="15"/>
  <c r="H209" i="15"/>
  <c r="H208" i="15"/>
  <c r="K207" i="15"/>
  <c r="J207" i="15"/>
  <c r="H207" i="15"/>
  <c r="G207" i="15"/>
  <c r="J206" i="15"/>
  <c r="H206" i="15"/>
  <c r="K205" i="15"/>
  <c r="J205" i="15"/>
  <c r="H205" i="15"/>
  <c r="H204" i="15"/>
  <c r="G204" i="15"/>
  <c r="G203" i="15"/>
  <c r="H203" i="15" s="1"/>
  <c r="K202" i="15"/>
  <c r="J202" i="15"/>
  <c r="H202" i="15"/>
  <c r="G202" i="15"/>
  <c r="H201" i="15"/>
  <c r="K200" i="15"/>
  <c r="J200" i="15"/>
  <c r="H200" i="15"/>
  <c r="J199" i="15"/>
  <c r="H199" i="15"/>
  <c r="K198" i="15"/>
  <c r="J198" i="15"/>
  <c r="H198" i="15"/>
  <c r="H197" i="15"/>
  <c r="G197" i="15"/>
  <c r="K196" i="15"/>
  <c r="J196" i="15"/>
  <c r="J195" i="15"/>
  <c r="K195" i="15" s="1"/>
  <c r="K194" i="15"/>
  <c r="J194" i="15"/>
  <c r="K193" i="15"/>
  <c r="J193" i="15"/>
  <c r="J192" i="15"/>
  <c r="K192" i="15" s="1"/>
  <c r="K191" i="15"/>
  <c r="J191" i="15"/>
  <c r="K190" i="15"/>
  <c r="J190" i="15"/>
  <c r="J189" i="15"/>
  <c r="K189" i="15" s="1"/>
  <c r="K188" i="15"/>
  <c r="J188" i="15"/>
  <c r="K187" i="15"/>
  <c r="J187" i="15"/>
  <c r="J186" i="15"/>
  <c r="K186" i="15" s="1"/>
  <c r="K185" i="15"/>
  <c r="J185" i="15"/>
  <c r="G184" i="15"/>
  <c r="H184" i="15" s="1"/>
  <c r="K183" i="15"/>
  <c r="J183" i="15"/>
  <c r="H183" i="15"/>
  <c r="G182" i="15"/>
  <c r="H182" i="15" s="1"/>
  <c r="K181" i="15"/>
  <c r="J181" i="15"/>
  <c r="H181" i="15"/>
  <c r="H180" i="15"/>
  <c r="G179" i="15"/>
  <c r="H179" i="15" s="1"/>
  <c r="K178" i="15"/>
  <c r="J178" i="15"/>
  <c r="H178" i="15"/>
  <c r="G178" i="15"/>
  <c r="G177" i="15"/>
  <c r="H177" i="15" s="1"/>
  <c r="H176" i="15"/>
  <c r="J176" i="15" s="1"/>
  <c r="K176" i="15" s="1"/>
  <c r="G176" i="15"/>
  <c r="H175" i="15"/>
  <c r="G175" i="15"/>
  <c r="H174" i="15"/>
  <c r="G174" i="15"/>
  <c r="K173" i="15"/>
  <c r="H173" i="15"/>
  <c r="J173" i="15" s="1"/>
  <c r="H172" i="15"/>
  <c r="G172" i="15"/>
  <c r="H171" i="15"/>
  <c r="H170" i="15"/>
  <c r="G169" i="15"/>
  <c r="H169" i="15" s="1"/>
  <c r="K168" i="15"/>
  <c r="J168" i="15"/>
  <c r="H168" i="15"/>
  <c r="G168" i="15"/>
  <c r="H167" i="15"/>
  <c r="K166" i="15"/>
  <c r="G166" i="15"/>
  <c r="H166" i="15" s="1"/>
  <c r="J166" i="15" s="1"/>
  <c r="H165" i="15"/>
  <c r="K164" i="15"/>
  <c r="J164" i="15"/>
  <c r="H164" i="15"/>
  <c r="H163" i="15"/>
  <c r="K162" i="15"/>
  <c r="J162" i="15"/>
  <c r="H162" i="15"/>
  <c r="H161" i="15"/>
  <c r="J160" i="15"/>
  <c r="K160" i="15" s="1"/>
  <c r="H160" i="15"/>
  <c r="H159" i="15"/>
  <c r="K158" i="15"/>
  <c r="J158" i="15"/>
  <c r="H158" i="15"/>
  <c r="H157" i="15"/>
  <c r="K156" i="15"/>
  <c r="J156" i="15"/>
  <c r="G156" i="15"/>
  <c r="H156" i="15" s="1"/>
  <c r="G155" i="15"/>
  <c r="H155" i="15" s="1"/>
  <c r="J154" i="15"/>
  <c r="K154" i="15" s="1"/>
  <c r="H154" i="15"/>
  <c r="J153" i="15"/>
  <c r="H153" i="15"/>
  <c r="J152" i="15"/>
  <c r="K152" i="15" s="1"/>
  <c r="H152" i="15"/>
  <c r="H151" i="15"/>
  <c r="J151" i="15" s="1"/>
  <c r="J150" i="15"/>
  <c r="K150" i="15" s="1"/>
  <c r="H150" i="15"/>
  <c r="H149" i="15"/>
  <c r="G148" i="15"/>
  <c r="H148" i="15" s="1"/>
  <c r="K147" i="15"/>
  <c r="J147" i="15"/>
  <c r="H147" i="15"/>
  <c r="H146" i="15"/>
  <c r="J145" i="15"/>
  <c r="K145" i="15" s="1"/>
  <c r="H145" i="15"/>
  <c r="H144" i="15"/>
  <c r="K143" i="15"/>
  <c r="J143" i="15"/>
  <c r="H143" i="15"/>
  <c r="G142" i="15"/>
  <c r="H142" i="15" s="1"/>
  <c r="K141" i="15"/>
  <c r="H141" i="15"/>
  <c r="J141" i="15" s="1"/>
  <c r="H140" i="15"/>
  <c r="G140" i="15"/>
  <c r="G139" i="15"/>
  <c r="H139" i="15" s="1"/>
  <c r="J138" i="15"/>
  <c r="K138" i="15" s="1"/>
  <c r="G138" i="15"/>
  <c r="H138" i="15" s="1"/>
  <c r="H137" i="15"/>
  <c r="H136" i="15"/>
  <c r="J136" i="15" s="1"/>
  <c r="K136" i="15" s="1"/>
  <c r="G135" i="15"/>
  <c r="H135" i="15" s="1"/>
  <c r="J134" i="15"/>
  <c r="H134" i="15"/>
  <c r="K134" i="15" s="1"/>
  <c r="H133" i="15"/>
  <c r="G132" i="15"/>
  <c r="H132" i="15" s="1"/>
  <c r="K131" i="15"/>
  <c r="J131" i="15"/>
  <c r="G131" i="15"/>
  <c r="H131" i="15" s="1"/>
  <c r="G130" i="15"/>
  <c r="H130" i="15" s="1"/>
  <c r="G129" i="15"/>
  <c r="H129" i="15" s="1"/>
  <c r="K128" i="15"/>
  <c r="J128" i="15"/>
  <c r="G128" i="15"/>
  <c r="H128" i="15" s="1"/>
  <c r="G127" i="15"/>
  <c r="H127" i="15" s="1"/>
  <c r="G126" i="15"/>
  <c r="H126" i="15" s="1"/>
  <c r="K125" i="15"/>
  <c r="J125" i="15"/>
  <c r="G125" i="15"/>
  <c r="H125" i="15" s="1"/>
  <c r="G124" i="15"/>
  <c r="H124" i="15" s="1"/>
  <c r="G123" i="15"/>
  <c r="H123" i="15" s="1"/>
  <c r="K122" i="15"/>
  <c r="J122" i="15"/>
  <c r="G122" i="15"/>
  <c r="H122" i="15" s="1"/>
  <c r="G121" i="15"/>
  <c r="H121" i="15" s="1"/>
  <c r="G120" i="15"/>
  <c r="H120" i="15" s="1"/>
  <c r="K119" i="15"/>
  <c r="J119" i="15"/>
  <c r="H119" i="15"/>
  <c r="G119" i="15"/>
  <c r="H118" i="15"/>
  <c r="K117" i="15"/>
  <c r="J117" i="15"/>
  <c r="H117" i="15"/>
  <c r="H116" i="15"/>
  <c r="G115" i="15"/>
  <c r="H115" i="15" s="1"/>
  <c r="J115" i="15" s="1"/>
  <c r="H114" i="15"/>
  <c r="G114" i="15"/>
  <c r="G113" i="15"/>
  <c r="H113" i="15" s="1"/>
  <c r="G112" i="15"/>
  <c r="H112" i="15" s="1"/>
  <c r="J112" i="15" s="1"/>
  <c r="H111" i="15"/>
  <c r="J111" i="15" s="1"/>
  <c r="G111" i="15"/>
  <c r="G110" i="15"/>
  <c r="H110" i="15" s="1"/>
  <c r="G109" i="15"/>
  <c r="H109" i="15" s="1"/>
  <c r="J109" i="15" s="1"/>
  <c r="H108" i="15"/>
  <c r="H107" i="15"/>
  <c r="H106" i="15"/>
  <c r="H105" i="15"/>
  <c r="H104" i="15"/>
  <c r="G103" i="15"/>
  <c r="H103" i="15" s="1"/>
  <c r="J102" i="15"/>
  <c r="K102" i="15" s="1"/>
  <c r="H102" i="15"/>
  <c r="H101" i="15"/>
  <c r="K100" i="15"/>
  <c r="J100" i="15"/>
  <c r="H100" i="15"/>
  <c r="H99" i="15"/>
  <c r="J98" i="15"/>
  <c r="K98" i="15" s="1"/>
  <c r="H98" i="15"/>
  <c r="H97" i="15"/>
  <c r="J96" i="15"/>
  <c r="K96" i="15" s="1"/>
  <c r="H96" i="15"/>
  <c r="H95" i="15"/>
  <c r="K94" i="15"/>
  <c r="J94" i="15"/>
  <c r="H94" i="15"/>
  <c r="H93" i="15"/>
  <c r="G92" i="15"/>
  <c r="H92" i="15" s="1"/>
  <c r="H91" i="15"/>
  <c r="H90" i="15"/>
  <c r="J90" i="15" s="1"/>
  <c r="K90" i="15" s="1"/>
  <c r="H89" i="15"/>
  <c r="H88" i="15"/>
  <c r="J88" i="15" s="1"/>
  <c r="K88" i="15" s="1"/>
  <c r="H87" i="15"/>
  <c r="H86" i="15"/>
  <c r="J86" i="15" s="1"/>
  <c r="K86" i="15" s="1"/>
  <c r="G86" i="15"/>
  <c r="H85" i="15"/>
  <c r="G85" i="15"/>
  <c r="H84" i="15"/>
  <c r="J83" i="15"/>
  <c r="K83" i="15" s="1"/>
  <c r="H83" i="15"/>
  <c r="H82" i="15"/>
  <c r="K81" i="15"/>
  <c r="J81" i="15"/>
  <c r="H81" i="15"/>
  <c r="G80" i="15"/>
  <c r="H80" i="15" s="1"/>
  <c r="K79" i="15"/>
  <c r="J79" i="15"/>
  <c r="H79" i="15"/>
  <c r="H78" i="15"/>
  <c r="K77" i="15"/>
  <c r="J77" i="15"/>
  <c r="H77" i="15"/>
  <c r="G77" i="15"/>
  <c r="J76" i="15"/>
  <c r="H76" i="15"/>
  <c r="J75" i="15"/>
  <c r="K75" i="15" s="1"/>
  <c r="H75" i="15"/>
  <c r="H74" i="15"/>
  <c r="G74" i="15"/>
  <c r="H73" i="15"/>
  <c r="J73" i="15" s="1"/>
  <c r="K73" i="15" s="1"/>
  <c r="J72" i="15"/>
  <c r="K72" i="15" s="1"/>
  <c r="H72" i="15"/>
  <c r="G72" i="15"/>
  <c r="H71" i="15"/>
  <c r="K70" i="15"/>
  <c r="J70" i="15"/>
  <c r="H70" i="15"/>
  <c r="H69" i="15"/>
  <c r="K68" i="15"/>
  <c r="J68" i="15"/>
  <c r="H68" i="15"/>
  <c r="G68" i="15"/>
  <c r="H67" i="15"/>
  <c r="J67" i="15" s="1"/>
  <c r="G67" i="15"/>
  <c r="G66" i="15"/>
  <c r="H66" i="15" s="1"/>
  <c r="G65" i="15"/>
  <c r="H65" i="15" s="1"/>
  <c r="J65" i="15" s="1"/>
  <c r="H64" i="15"/>
  <c r="J64" i="15" s="1"/>
  <c r="G64" i="15"/>
  <c r="G63" i="15"/>
  <c r="H63" i="15" s="1"/>
  <c r="H62" i="15"/>
  <c r="J62" i="15" s="1"/>
  <c r="K62" i="15" s="1"/>
  <c r="G62" i="15"/>
  <c r="H61" i="15"/>
  <c r="G61" i="15"/>
  <c r="G60" i="15"/>
  <c r="H60" i="15" s="1"/>
  <c r="G59" i="15"/>
  <c r="H59" i="15" s="1"/>
  <c r="J59" i="15" s="1"/>
  <c r="H58" i="15"/>
  <c r="J58" i="15" s="1"/>
  <c r="G58" i="15"/>
  <c r="G57" i="15"/>
  <c r="H57" i="15" s="1"/>
  <c r="H56" i="15"/>
  <c r="J56" i="15" s="1"/>
  <c r="K56" i="15" s="1"/>
  <c r="G56" i="15"/>
  <c r="J55" i="15"/>
  <c r="H55" i="15"/>
  <c r="J54" i="15"/>
  <c r="H54" i="15"/>
  <c r="K54" i="15" s="1"/>
  <c r="H53" i="15"/>
  <c r="J53" i="15" s="1"/>
  <c r="G52" i="15"/>
  <c r="H52" i="15" s="1"/>
  <c r="G51" i="15"/>
  <c r="H51" i="15" s="1"/>
  <c r="J51" i="15" s="1"/>
  <c r="K51" i="15" s="1"/>
  <c r="G50" i="15"/>
  <c r="H50" i="15" s="1"/>
  <c r="H49" i="15"/>
  <c r="G49" i="15"/>
  <c r="G48" i="15"/>
  <c r="H48" i="15" s="1"/>
  <c r="G47" i="15"/>
  <c r="H47" i="15" s="1"/>
  <c r="H46" i="15"/>
  <c r="G46" i="15"/>
  <c r="J45" i="15"/>
  <c r="K45" i="15" s="1"/>
  <c r="H44" i="15"/>
  <c r="G44" i="15"/>
  <c r="G43" i="15"/>
  <c r="H43" i="15" s="1"/>
  <c r="J43" i="15" s="1"/>
  <c r="K43" i="15" s="1"/>
  <c r="G42" i="15"/>
  <c r="H42" i="15" s="1"/>
  <c r="J41" i="15"/>
  <c r="K41" i="15" s="1"/>
  <c r="K40" i="15"/>
  <c r="J40" i="15"/>
  <c r="J39" i="15"/>
  <c r="K39" i="15" s="1"/>
  <c r="H38" i="15"/>
  <c r="G38" i="15"/>
  <c r="G37" i="15"/>
  <c r="H37" i="15" s="1"/>
  <c r="J37" i="15" s="1"/>
  <c r="K37" i="15" s="1"/>
  <c r="G36" i="15"/>
  <c r="H36" i="15" s="1"/>
  <c r="G35" i="15"/>
  <c r="H35" i="15" s="1"/>
  <c r="G34" i="15"/>
  <c r="H34" i="15" s="1"/>
  <c r="J34" i="15" s="1"/>
  <c r="K34" i="15" s="1"/>
  <c r="G33" i="15"/>
  <c r="H33" i="15" s="1"/>
  <c r="H32" i="15"/>
  <c r="G32" i="15"/>
  <c r="J31" i="15"/>
  <c r="K31" i="15" s="1"/>
  <c r="H31" i="15"/>
  <c r="G31" i="15"/>
  <c r="H30" i="15"/>
  <c r="G30" i="15"/>
  <c r="G29" i="15"/>
  <c r="H29" i="15" s="1"/>
  <c r="G28" i="15"/>
  <c r="H28" i="15" s="1"/>
  <c r="H27" i="15"/>
  <c r="G27" i="15"/>
  <c r="H26" i="15"/>
  <c r="G26" i="15"/>
  <c r="G25" i="15"/>
  <c r="H25" i="15" s="1"/>
  <c r="J25" i="15" s="1"/>
  <c r="H24" i="15"/>
  <c r="G24" i="15"/>
  <c r="J23" i="15"/>
  <c r="H23" i="15"/>
  <c r="K23" i="15" s="1"/>
  <c r="G23" i="15"/>
  <c r="K22" i="15"/>
  <c r="J22" i="15"/>
  <c r="G22" i="15"/>
  <c r="H22" i="15" s="1"/>
  <c r="H21" i="15"/>
  <c r="H20" i="15"/>
  <c r="J20" i="15" s="1"/>
  <c r="K20" i="15" s="1"/>
  <c r="H19" i="15"/>
  <c r="K18" i="15"/>
  <c r="H18" i="15"/>
  <c r="J18" i="15" s="1"/>
  <c r="G18" i="15"/>
  <c r="H17" i="15"/>
  <c r="J16" i="15"/>
  <c r="K16" i="15" s="1"/>
  <c r="H16" i="15"/>
  <c r="J15" i="15"/>
  <c r="H15" i="15"/>
  <c r="G15" i="15"/>
  <c r="G14" i="15"/>
  <c r="H14" i="15" s="1"/>
  <c r="J14" i="15" s="1"/>
  <c r="K13" i="15"/>
  <c r="J13" i="15"/>
  <c r="H13" i="15"/>
  <c r="G12" i="15"/>
  <c r="H12" i="15" s="1"/>
  <c r="G11" i="15"/>
  <c r="H11" i="15" s="1"/>
  <c r="J10" i="15"/>
  <c r="K10" i="15" s="1"/>
  <c r="H10" i="15"/>
  <c r="G10" i="15"/>
  <c r="H9" i="15"/>
  <c r="K8" i="15"/>
  <c r="J8" i="15"/>
  <c r="H8" i="15"/>
  <c r="H7" i="15"/>
  <c r="G6" i="15"/>
  <c r="H6" i="15" s="1"/>
  <c r="H5" i="15"/>
  <c r="J5" i="15" s="1"/>
  <c r="AW166" i="14"/>
  <c r="AW165" i="14"/>
  <c r="AW164" i="14"/>
  <c r="AW163" i="14"/>
  <c r="AW162" i="14"/>
  <c r="AW161" i="14"/>
  <c r="AW160" i="14"/>
  <c r="AW159" i="14"/>
  <c r="AW158" i="14"/>
  <c r="AW157" i="14"/>
  <c r="AW156" i="14"/>
  <c r="AW155" i="14"/>
  <c r="AW154" i="14"/>
  <c r="AW153" i="14"/>
  <c r="AW152" i="14"/>
  <c r="AW151" i="14"/>
  <c r="AW150" i="14"/>
  <c r="AW149" i="14"/>
  <c r="AW148" i="14"/>
  <c r="AW147" i="14"/>
  <c r="AW146" i="14"/>
  <c r="AW145" i="14"/>
  <c r="AW144" i="14"/>
  <c r="AW143" i="14"/>
  <c r="AW142" i="14"/>
  <c r="AW141" i="14"/>
  <c r="AW140" i="14"/>
  <c r="AW139" i="14"/>
  <c r="AW138" i="14"/>
  <c r="AW137" i="14"/>
  <c r="AW136" i="14"/>
  <c r="AW135" i="14"/>
  <c r="AW134" i="14"/>
  <c r="I134" i="14"/>
  <c r="J134" i="14" s="1"/>
  <c r="G134" i="14"/>
  <c r="H134" i="14" s="1"/>
  <c r="AW133" i="14"/>
  <c r="I133" i="14"/>
  <c r="J133" i="14" s="1"/>
  <c r="G133" i="14"/>
  <c r="H133" i="14" s="1"/>
  <c r="AW132" i="14"/>
  <c r="I132" i="14"/>
  <c r="J132" i="14" s="1"/>
  <c r="G132" i="14"/>
  <c r="H132" i="14" s="1"/>
  <c r="AW131" i="14"/>
  <c r="I131" i="14"/>
  <c r="J131" i="14" s="1"/>
  <c r="G131" i="14"/>
  <c r="H131" i="14" s="1"/>
  <c r="AW130" i="14"/>
  <c r="I130" i="14"/>
  <c r="J130" i="14" s="1"/>
  <c r="G130" i="14"/>
  <c r="H130" i="14" s="1"/>
  <c r="AW129" i="14"/>
  <c r="I129" i="14"/>
  <c r="J129" i="14" s="1"/>
  <c r="G129" i="14"/>
  <c r="H129" i="14" s="1"/>
  <c r="AW128" i="14"/>
  <c r="I128" i="14"/>
  <c r="J128" i="14" s="1"/>
  <c r="G128" i="14"/>
  <c r="H128" i="14" s="1"/>
  <c r="AW127" i="14"/>
  <c r="I127" i="14"/>
  <c r="J127" i="14" s="1"/>
  <c r="G127" i="14"/>
  <c r="H127" i="14" s="1"/>
  <c r="AW126" i="14"/>
  <c r="I126" i="14"/>
  <c r="J126" i="14" s="1"/>
  <c r="G126" i="14"/>
  <c r="H126" i="14" s="1"/>
  <c r="AW125" i="14"/>
  <c r="I125" i="14"/>
  <c r="J125" i="14" s="1"/>
  <c r="G125" i="14"/>
  <c r="H125" i="14" s="1"/>
  <c r="AW124" i="14"/>
  <c r="I124" i="14"/>
  <c r="J124" i="14" s="1"/>
  <c r="G124" i="14"/>
  <c r="H124" i="14" s="1"/>
  <c r="AW123" i="14"/>
  <c r="I123" i="14"/>
  <c r="J123" i="14" s="1"/>
  <c r="G123" i="14"/>
  <c r="H123" i="14" s="1"/>
  <c r="AW122" i="14"/>
  <c r="I122" i="14"/>
  <c r="J122" i="14" s="1"/>
  <c r="G122" i="14"/>
  <c r="H122" i="14" s="1"/>
  <c r="AW121" i="14"/>
  <c r="I121" i="14"/>
  <c r="J121" i="14" s="1"/>
  <c r="G121" i="14"/>
  <c r="H121" i="14" s="1"/>
  <c r="AW120" i="14"/>
  <c r="I120" i="14"/>
  <c r="J120" i="14" s="1"/>
  <c r="G120" i="14"/>
  <c r="H120" i="14" s="1"/>
  <c r="AW119" i="14"/>
  <c r="I119" i="14"/>
  <c r="J119" i="14" s="1"/>
  <c r="G119" i="14"/>
  <c r="H119" i="14" s="1"/>
  <c r="AW118" i="14"/>
  <c r="I118" i="14"/>
  <c r="J118" i="14" s="1"/>
  <c r="G118" i="14"/>
  <c r="H118" i="14" s="1"/>
  <c r="AW117" i="14"/>
  <c r="I117" i="14"/>
  <c r="J117" i="14" s="1"/>
  <c r="G117" i="14"/>
  <c r="H117" i="14" s="1"/>
  <c r="AW116" i="14"/>
  <c r="I116" i="14"/>
  <c r="J116" i="14" s="1"/>
  <c r="G116" i="14"/>
  <c r="H116" i="14" s="1"/>
  <c r="AW115" i="14"/>
  <c r="I115" i="14"/>
  <c r="J115" i="14" s="1"/>
  <c r="G115" i="14"/>
  <c r="H115" i="14" s="1"/>
  <c r="AW114" i="14"/>
  <c r="I114" i="14"/>
  <c r="J114" i="14" s="1"/>
  <c r="G114" i="14"/>
  <c r="H114" i="14" s="1"/>
  <c r="E114" i="14"/>
  <c r="F114" i="14" s="1"/>
  <c r="AW113" i="14"/>
  <c r="I113" i="14"/>
  <c r="J113" i="14" s="1"/>
  <c r="G113" i="14"/>
  <c r="H113" i="14" s="1"/>
  <c r="E113" i="14"/>
  <c r="F113" i="14" s="1"/>
  <c r="AW112" i="14"/>
  <c r="I112" i="14"/>
  <c r="J112" i="14" s="1"/>
  <c r="G112" i="14"/>
  <c r="H112" i="14" s="1"/>
  <c r="E112" i="14"/>
  <c r="F112" i="14" s="1"/>
  <c r="AW111" i="14"/>
  <c r="I111" i="14"/>
  <c r="J111" i="14" s="1"/>
  <c r="G111" i="14"/>
  <c r="H111" i="14" s="1"/>
  <c r="E111" i="14"/>
  <c r="F111" i="14" s="1"/>
  <c r="AW110" i="14"/>
  <c r="I110" i="14"/>
  <c r="J110" i="14" s="1"/>
  <c r="G110" i="14"/>
  <c r="H110" i="14" s="1"/>
  <c r="AW109" i="14"/>
  <c r="I109" i="14"/>
  <c r="J109" i="14" s="1"/>
  <c r="G109" i="14"/>
  <c r="H109" i="14" s="1"/>
  <c r="AW108" i="14"/>
  <c r="I108" i="14"/>
  <c r="J108" i="14" s="1"/>
  <c r="G108" i="14"/>
  <c r="H108" i="14" s="1"/>
  <c r="E108" i="14"/>
  <c r="F108" i="14" s="1"/>
  <c r="AW107" i="14"/>
  <c r="I107" i="14"/>
  <c r="J107" i="14" s="1"/>
  <c r="G107" i="14"/>
  <c r="H107" i="14" s="1"/>
  <c r="AW106" i="14"/>
  <c r="I106" i="14"/>
  <c r="J106" i="14" s="1"/>
  <c r="G106" i="14"/>
  <c r="H106" i="14" s="1"/>
  <c r="AW105" i="14"/>
  <c r="I105" i="14"/>
  <c r="J105" i="14" s="1"/>
  <c r="G105" i="14"/>
  <c r="H105" i="14" s="1"/>
  <c r="AW104" i="14"/>
  <c r="I104" i="14"/>
  <c r="J104" i="14" s="1"/>
  <c r="G104" i="14"/>
  <c r="H104" i="14" s="1"/>
  <c r="AW103" i="14"/>
  <c r="I103" i="14"/>
  <c r="J103" i="14" s="1"/>
  <c r="G103" i="14"/>
  <c r="H103" i="14" s="1"/>
  <c r="AW102" i="14"/>
  <c r="I102" i="14"/>
  <c r="J102" i="14" s="1"/>
  <c r="G102" i="14"/>
  <c r="H102" i="14" s="1"/>
  <c r="AW101" i="14"/>
  <c r="I101" i="14"/>
  <c r="J101" i="14" s="1"/>
  <c r="G101" i="14"/>
  <c r="H101" i="14" s="1"/>
  <c r="AW100" i="14"/>
  <c r="I100" i="14"/>
  <c r="J100" i="14" s="1"/>
  <c r="G100" i="14"/>
  <c r="H100" i="14" s="1"/>
  <c r="AW99" i="14"/>
  <c r="I99" i="14"/>
  <c r="J99" i="14" s="1"/>
  <c r="G99" i="14"/>
  <c r="H99" i="14" s="1"/>
  <c r="AW98" i="14"/>
  <c r="I98" i="14"/>
  <c r="J98" i="14" s="1"/>
  <c r="G98" i="14"/>
  <c r="H98" i="14" s="1"/>
  <c r="AW97" i="14"/>
  <c r="I97" i="14"/>
  <c r="J97" i="14" s="1"/>
  <c r="G97" i="14"/>
  <c r="H97" i="14" s="1"/>
  <c r="AW96" i="14"/>
  <c r="I96" i="14"/>
  <c r="J96" i="14" s="1"/>
  <c r="G96" i="14"/>
  <c r="H96" i="14" s="1"/>
  <c r="AW95" i="14"/>
  <c r="I95" i="14"/>
  <c r="J95" i="14" s="1"/>
  <c r="G95" i="14"/>
  <c r="H95" i="14" s="1"/>
  <c r="AW94" i="14"/>
  <c r="I94" i="14"/>
  <c r="J94" i="14" s="1"/>
  <c r="G94" i="14"/>
  <c r="H94" i="14" s="1"/>
  <c r="AW93" i="14"/>
  <c r="I93" i="14"/>
  <c r="J93" i="14" s="1"/>
  <c r="G93" i="14"/>
  <c r="H93" i="14" s="1"/>
  <c r="AW92" i="14"/>
  <c r="I92" i="14"/>
  <c r="J92" i="14" s="1"/>
  <c r="G92" i="14"/>
  <c r="H92" i="14" s="1"/>
  <c r="AW91" i="14"/>
  <c r="I91" i="14"/>
  <c r="J91" i="14" s="1"/>
  <c r="G91" i="14"/>
  <c r="H91" i="14" s="1"/>
  <c r="AW90" i="14"/>
  <c r="I90" i="14"/>
  <c r="J90" i="14" s="1"/>
  <c r="G90" i="14"/>
  <c r="H90" i="14" s="1"/>
  <c r="AW89" i="14"/>
  <c r="I89" i="14"/>
  <c r="J89" i="14" s="1"/>
  <c r="G89" i="14"/>
  <c r="H89" i="14" s="1"/>
  <c r="AW88" i="14"/>
  <c r="I88" i="14"/>
  <c r="J88" i="14" s="1"/>
  <c r="G88" i="14"/>
  <c r="H88" i="14" s="1"/>
  <c r="AW87" i="14"/>
  <c r="I87" i="14"/>
  <c r="J87" i="14" s="1"/>
  <c r="G87" i="14"/>
  <c r="H87" i="14" s="1"/>
  <c r="AW86" i="14"/>
  <c r="I86" i="14"/>
  <c r="J86" i="14" s="1"/>
  <c r="G86" i="14"/>
  <c r="H86" i="14" s="1"/>
  <c r="AW85" i="14"/>
  <c r="I85" i="14"/>
  <c r="J85" i="14" s="1"/>
  <c r="G85" i="14"/>
  <c r="H85" i="14" s="1"/>
  <c r="AW84" i="14"/>
  <c r="I84" i="14"/>
  <c r="J84" i="14" s="1"/>
  <c r="G84" i="14"/>
  <c r="H84" i="14" s="1"/>
  <c r="AW83" i="14"/>
  <c r="I83" i="14"/>
  <c r="J83" i="14" s="1"/>
  <c r="G83" i="14"/>
  <c r="H83" i="14" s="1"/>
  <c r="AW82" i="14"/>
  <c r="I82" i="14"/>
  <c r="J82" i="14" s="1"/>
  <c r="G82" i="14"/>
  <c r="H82" i="14" s="1"/>
  <c r="AW81" i="14"/>
  <c r="I81" i="14"/>
  <c r="J81" i="14" s="1"/>
  <c r="G81" i="14"/>
  <c r="H81" i="14" s="1"/>
  <c r="AW80" i="14"/>
  <c r="I80" i="14"/>
  <c r="J80" i="14" s="1"/>
  <c r="G80" i="14"/>
  <c r="H80" i="14" s="1"/>
  <c r="AW79" i="14"/>
  <c r="I79" i="14"/>
  <c r="J79" i="14" s="1"/>
  <c r="G79" i="14"/>
  <c r="H79" i="14" s="1"/>
  <c r="AW78" i="14"/>
  <c r="I78" i="14"/>
  <c r="J78" i="14" s="1"/>
  <c r="G78" i="14"/>
  <c r="H78" i="14" s="1"/>
  <c r="AW77" i="14"/>
  <c r="I77" i="14"/>
  <c r="J77" i="14" s="1"/>
  <c r="G77" i="14"/>
  <c r="H77" i="14" s="1"/>
  <c r="AW76" i="14"/>
  <c r="I76" i="14"/>
  <c r="J76" i="14" s="1"/>
  <c r="G76" i="14"/>
  <c r="H76" i="14" s="1"/>
  <c r="AW75" i="14"/>
  <c r="I75" i="14"/>
  <c r="J75" i="14" s="1"/>
  <c r="G75" i="14"/>
  <c r="H75" i="14" s="1"/>
  <c r="AW74" i="14"/>
  <c r="I74" i="14"/>
  <c r="J74" i="14" s="1"/>
  <c r="G74" i="14"/>
  <c r="H74" i="14" s="1"/>
  <c r="AW73" i="14"/>
  <c r="I73" i="14"/>
  <c r="J73" i="14" s="1"/>
  <c r="G73" i="14"/>
  <c r="H73" i="14" s="1"/>
  <c r="AW72" i="14"/>
  <c r="I72" i="14"/>
  <c r="J72" i="14" s="1"/>
  <c r="G72" i="14"/>
  <c r="H72" i="14" s="1"/>
  <c r="AW71" i="14"/>
  <c r="I71" i="14"/>
  <c r="J71" i="14" s="1"/>
  <c r="G71" i="14"/>
  <c r="H71" i="14" s="1"/>
  <c r="AW70" i="14"/>
  <c r="I70" i="14"/>
  <c r="J70" i="14" s="1"/>
  <c r="G70" i="14"/>
  <c r="H70" i="14" s="1"/>
  <c r="AW69" i="14"/>
  <c r="I69" i="14"/>
  <c r="J69" i="14" s="1"/>
  <c r="G69" i="14"/>
  <c r="H69" i="14" s="1"/>
  <c r="AW68" i="14"/>
  <c r="I68" i="14"/>
  <c r="J68" i="14" s="1"/>
  <c r="G68" i="14"/>
  <c r="H68" i="14" s="1"/>
  <c r="AW67" i="14"/>
  <c r="I67" i="14"/>
  <c r="J67" i="14" s="1"/>
  <c r="G67" i="14"/>
  <c r="H67" i="14" s="1"/>
  <c r="AW66" i="14"/>
  <c r="I66" i="14"/>
  <c r="J66" i="14" s="1"/>
  <c r="G66" i="14"/>
  <c r="H66" i="14" s="1"/>
  <c r="AW65" i="14"/>
  <c r="I65" i="14"/>
  <c r="J65" i="14" s="1"/>
  <c r="G65" i="14"/>
  <c r="H65" i="14" s="1"/>
  <c r="AW64" i="14"/>
  <c r="I64" i="14"/>
  <c r="J64" i="14" s="1"/>
  <c r="G64" i="14"/>
  <c r="H64" i="14" s="1"/>
  <c r="AW63" i="14"/>
  <c r="AW62" i="14"/>
  <c r="AW61" i="14"/>
  <c r="AW60" i="14"/>
  <c r="AW59" i="14"/>
  <c r="AW58" i="14"/>
  <c r="AW57" i="14"/>
  <c r="AW56" i="14"/>
  <c r="AW55" i="14"/>
  <c r="AW54" i="14"/>
  <c r="AW53" i="14"/>
  <c r="AW52" i="14"/>
  <c r="AW51" i="14"/>
  <c r="AW50" i="14"/>
  <c r="AW49" i="14"/>
  <c r="AW48" i="14"/>
  <c r="AW47" i="14"/>
  <c r="AW46" i="14"/>
  <c r="AW45" i="14"/>
  <c r="I45" i="14"/>
  <c r="J45" i="14" s="1"/>
  <c r="G45" i="14"/>
  <c r="H45" i="14" s="1"/>
  <c r="AW44" i="14"/>
  <c r="G44" i="14"/>
  <c r="E44" i="14"/>
  <c r="AW43" i="14"/>
  <c r="I43" i="14"/>
  <c r="J43" i="14" s="1"/>
  <c r="G43" i="14"/>
  <c r="H43" i="14" s="1"/>
  <c r="AW42" i="14"/>
  <c r="I42" i="14"/>
  <c r="G42" i="14"/>
  <c r="AW41" i="14"/>
  <c r="AW40" i="14"/>
  <c r="AW39" i="14"/>
  <c r="AW38" i="14"/>
  <c r="AW37" i="14"/>
  <c r="AW36" i="14"/>
  <c r="AW35" i="14"/>
  <c r="D35" i="14"/>
  <c r="AW34" i="14"/>
  <c r="AW33" i="14"/>
  <c r="AW32" i="14"/>
  <c r="AW31" i="14"/>
  <c r="AW30" i="14"/>
  <c r="AW29" i="14"/>
  <c r="AW28" i="14"/>
  <c r="AW27" i="14"/>
  <c r="AW26" i="14"/>
  <c r="AW25" i="14"/>
  <c r="AW24" i="14"/>
  <c r="AW23" i="14"/>
  <c r="AW22" i="14"/>
  <c r="AW21" i="14"/>
  <c r="D21" i="14"/>
  <c r="AW20" i="14"/>
  <c r="D20" i="14"/>
  <c r="AW19" i="14"/>
  <c r="D19" i="14"/>
  <c r="AW18" i="14"/>
  <c r="D18" i="14"/>
  <c r="AW17" i="14"/>
  <c r="AW16" i="14"/>
  <c r="AW15" i="14"/>
  <c r="AW14" i="14"/>
  <c r="AW13" i="14"/>
  <c r="AW12" i="14"/>
  <c r="D12" i="14"/>
  <c r="AW11" i="14"/>
  <c r="AW10" i="14"/>
  <c r="AW9" i="14"/>
  <c r="AW8" i="14"/>
  <c r="AW7" i="14"/>
  <c r="AW6" i="14"/>
  <c r="D6" i="14"/>
  <c r="AW5" i="14"/>
  <c r="AW166" i="13"/>
  <c r="AW165" i="13"/>
  <c r="AW164" i="13"/>
  <c r="AW163" i="13"/>
  <c r="AW162" i="13"/>
  <c r="AW161" i="13"/>
  <c r="AW160" i="13"/>
  <c r="AW159" i="13"/>
  <c r="AW158" i="13"/>
  <c r="AW157" i="13"/>
  <c r="AW156" i="13"/>
  <c r="AW155" i="13"/>
  <c r="AW154" i="13"/>
  <c r="AW153" i="13"/>
  <c r="AW152" i="13"/>
  <c r="AW151" i="13"/>
  <c r="I151" i="13"/>
  <c r="J151" i="13" s="1"/>
  <c r="G151" i="13"/>
  <c r="H151" i="13" s="1"/>
  <c r="AW150" i="13"/>
  <c r="I150" i="13"/>
  <c r="J150" i="13" s="1"/>
  <c r="G150" i="13"/>
  <c r="H150" i="13" s="1"/>
  <c r="E150" i="13"/>
  <c r="AW149" i="13"/>
  <c r="I149" i="13"/>
  <c r="J149" i="13" s="1"/>
  <c r="G149" i="13"/>
  <c r="H149" i="13" s="1"/>
  <c r="E149" i="13"/>
  <c r="F149" i="13" s="1"/>
  <c r="AW148" i="13"/>
  <c r="I148" i="13"/>
  <c r="J148" i="13" s="1"/>
  <c r="G148" i="13"/>
  <c r="H148" i="13" s="1"/>
  <c r="E148" i="13"/>
  <c r="AW147" i="13"/>
  <c r="I147" i="13"/>
  <c r="J147" i="13" s="1"/>
  <c r="G147" i="13"/>
  <c r="H147" i="13" s="1"/>
  <c r="E147" i="13"/>
  <c r="F147" i="13" s="1"/>
  <c r="AW146" i="13"/>
  <c r="I146" i="13"/>
  <c r="J146" i="13" s="1"/>
  <c r="G146" i="13"/>
  <c r="H146" i="13" s="1"/>
  <c r="E146" i="13"/>
  <c r="AW145" i="13"/>
  <c r="I145" i="13"/>
  <c r="J145" i="13" s="1"/>
  <c r="G145" i="13"/>
  <c r="H145" i="13" s="1"/>
  <c r="E145" i="13"/>
  <c r="F145" i="13" s="1"/>
  <c r="AW144" i="13"/>
  <c r="I144" i="13"/>
  <c r="J144" i="13" s="1"/>
  <c r="G144" i="13"/>
  <c r="H144" i="13" s="1"/>
  <c r="E144" i="13"/>
  <c r="AW143" i="13"/>
  <c r="I143" i="13"/>
  <c r="J143" i="13" s="1"/>
  <c r="G143" i="13"/>
  <c r="H143" i="13" s="1"/>
  <c r="E143" i="13"/>
  <c r="F143" i="13" s="1"/>
  <c r="AW142" i="13"/>
  <c r="I142" i="13"/>
  <c r="J142" i="13" s="1"/>
  <c r="G142" i="13"/>
  <c r="H142" i="13" s="1"/>
  <c r="E142" i="13"/>
  <c r="AW141" i="13"/>
  <c r="AW140" i="13"/>
  <c r="AW139" i="13"/>
  <c r="AW138" i="13"/>
  <c r="AW137" i="13"/>
  <c r="AW136" i="13"/>
  <c r="AW135" i="13"/>
  <c r="AW134" i="13"/>
  <c r="AW133" i="13"/>
  <c r="AW132" i="13"/>
  <c r="AW131" i="13"/>
  <c r="AW130" i="13"/>
  <c r="AW129" i="13"/>
  <c r="AW128" i="13"/>
  <c r="AW127" i="13"/>
  <c r="AW126" i="13"/>
  <c r="AW125" i="13"/>
  <c r="AW124" i="13"/>
  <c r="AW123" i="13"/>
  <c r="AW122" i="13"/>
  <c r="AW121" i="13"/>
  <c r="AW120" i="13"/>
  <c r="AW119" i="13"/>
  <c r="AW118" i="13"/>
  <c r="AW117" i="13"/>
  <c r="AW116" i="13"/>
  <c r="AW115" i="13"/>
  <c r="AW114" i="13"/>
  <c r="AW113" i="13"/>
  <c r="AW112" i="13"/>
  <c r="AW111" i="13"/>
  <c r="AW110" i="13"/>
  <c r="AW109" i="13"/>
  <c r="AW108" i="13"/>
  <c r="AW107" i="13"/>
  <c r="AW106" i="13"/>
  <c r="AW105" i="13"/>
  <c r="AW104" i="13"/>
  <c r="AW103" i="13"/>
  <c r="AW102" i="13"/>
  <c r="AW101" i="13"/>
  <c r="AW100" i="13"/>
  <c r="AW99" i="13"/>
  <c r="AW98" i="13"/>
  <c r="AW97" i="13"/>
  <c r="AW96" i="13"/>
  <c r="AW95" i="13"/>
  <c r="AW94" i="13"/>
  <c r="AW93" i="13"/>
  <c r="AW92" i="13"/>
  <c r="AW91" i="13"/>
  <c r="AW90" i="13"/>
  <c r="AW89" i="13"/>
  <c r="AW88" i="13"/>
  <c r="AW87" i="13"/>
  <c r="AW86" i="13"/>
  <c r="AW85" i="13"/>
  <c r="AW84" i="13"/>
  <c r="AW83" i="13"/>
  <c r="AW82" i="13"/>
  <c r="AW81" i="13"/>
  <c r="AW80" i="13"/>
  <c r="AW79" i="13"/>
  <c r="AW78" i="13"/>
  <c r="AW77" i="13"/>
  <c r="AW76" i="13"/>
  <c r="AW75" i="13"/>
  <c r="AW74" i="13"/>
  <c r="AW73" i="13"/>
  <c r="AW72" i="13"/>
  <c r="AW71" i="13"/>
  <c r="AW70" i="13"/>
  <c r="AW69" i="13"/>
  <c r="AW68" i="13"/>
  <c r="AW67" i="13"/>
  <c r="AW66" i="13"/>
  <c r="AW65" i="13"/>
  <c r="AW64" i="13"/>
  <c r="AW63" i="13"/>
  <c r="AW62" i="13"/>
  <c r="AW61" i="13"/>
  <c r="AW60" i="13"/>
  <c r="AW59" i="13"/>
  <c r="AW58" i="13"/>
  <c r="AW57" i="13"/>
  <c r="AW56" i="13"/>
  <c r="AW55" i="13"/>
  <c r="AW54" i="13"/>
  <c r="AW53" i="13"/>
  <c r="AW52" i="13"/>
  <c r="AW51" i="13"/>
  <c r="AW50" i="13"/>
  <c r="AW49" i="13"/>
  <c r="AW48" i="13"/>
  <c r="AW47" i="13"/>
  <c r="AW46" i="13"/>
  <c r="AW45" i="13"/>
  <c r="I45" i="13"/>
  <c r="J45" i="13" s="1"/>
  <c r="G45" i="13"/>
  <c r="AW44" i="13"/>
  <c r="G44" i="13"/>
  <c r="E44" i="13"/>
  <c r="AW43" i="13"/>
  <c r="I43" i="13"/>
  <c r="G43" i="13"/>
  <c r="H43" i="13" s="1"/>
  <c r="AW42" i="13"/>
  <c r="I42" i="13"/>
  <c r="G42" i="13"/>
  <c r="H42" i="13" s="1"/>
  <c r="AW41" i="13"/>
  <c r="AW40" i="13"/>
  <c r="AW39" i="13"/>
  <c r="AW38" i="13"/>
  <c r="AW37" i="13"/>
  <c r="AW36" i="13"/>
  <c r="AW35" i="13"/>
  <c r="D35" i="13"/>
  <c r="AW34" i="13"/>
  <c r="AW33" i="13"/>
  <c r="AW32" i="13"/>
  <c r="AW31" i="13"/>
  <c r="AW30" i="13"/>
  <c r="AW29" i="13"/>
  <c r="AW28" i="13"/>
  <c r="AW27" i="13"/>
  <c r="AW26" i="13"/>
  <c r="AW25" i="13"/>
  <c r="AW24" i="13"/>
  <c r="AW23" i="13"/>
  <c r="AW22" i="13"/>
  <c r="AW21" i="13"/>
  <c r="D21" i="13"/>
  <c r="AW20" i="13"/>
  <c r="D20" i="13"/>
  <c r="AW19" i="13"/>
  <c r="D19" i="13"/>
  <c r="AW18" i="13"/>
  <c r="D18" i="13"/>
  <c r="AW17" i="13"/>
  <c r="AW16" i="13"/>
  <c r="AW15" i="13"/>
  <c r="AW14" i="13"/>
  <c r="AW13" i="13"/>
  <c r="AW12" i="13"/>
  <c r="D12" i="13"/>
  <c r="AW11" i="13"/>
  <c r="AW10" i="13"/>
  <c r="AW9" i="13"/>
  <c r="AW8" i="13"/>
  <c r="AW7" i="13"/>
  <c r="AW6" i="13"/>
  <c r="D6" i="13"/>
  <c r="AW5" i="13"/>
  <c r="AW167" i="8"/>
  <c r="AW166" i="8"/>
  <c r="AW165" i="8"/>
  <c r="AW164" i="8"/>
  <c r="AW163" i="8"/>
  <c r="AW162" i="8"/>
  <c r="AW161" i="8"/>
  <c r="AW160" i="8"/>
  <c r="AW159" i="8"/>
  <c r="AW158" i="8"/>
  <c r="AW157" i="8"/>
  <c r="AW156" i="8"/>
  <c r="AW155" i="8"/>
  <c r="AW154" i="8"/>
  <c r="AW153" i="8"/>
  <c r="AW152" i="8"/>
  <c r="AW151" i="8"/>
  <c r="AW150" i="8"/>
  <c r="AW149" i="8"/>
  <c r="AW148" i="8"/>
  <c r="AW147" i="8"/>
  <c r="AW146" i="8"/>
  <c r="AW145" i="8"/>
  <c r="AW144" i="8"/>
  <c r="AW143" i="8"/>
  <c r="AW142" i="8"/>
  <c r="AW141" i="8"/>
  <c r="AW140" i="8"/>
  <c r="AW139" i="8"/>
  <c r="AW138" i="8"/>
  <c r="AW137" i="8"/>
  <c r="AW136" i="8"/>
  <c r="AW135" i="8"/>
  <c r="AW134" i="8"/>
  <c r="AW133" i="8"/>
  <c r="AW132" i="8"/>
  <c r="AW131" i="8"/>
  <c r="AW130" i="8"/>
  <c r="AW129" i="8"/>
  <c r="AW128" i="8"/>
  <c r="AW127" i="8"/>
  <c r="AW126" i="8"/>
  <c r="AW125" i="8"/>
  <c r="AW124" i="8"/>
  <c r="AW123" i="8"/>
  <c r="AW122" i="8"/>
  <c r="AW121" i="8"/>
  <c r="AW120" i="8"/>
  <c r="AW119" i="8"/>
  <c r="AW118" i="8"/>
  <c r="AW117" i="8"/>
  <c r="AW116" i="8"/>
  <c r="AW115" i="8"/>
  <c r="AW114" i="8"/>
  <c r="AW113" i="8"/>
  <c r="AW112" i="8"/>
  <c r="AW111" i="8"/>
  <c r="AW110" i="8"/>
  <c r="AW109" i="8"/>
  <c r="AW108" i="8"/>
  <c r="AW107" i="8"/>
  <c r="AW106" i="8"/>
  <c r="AW105" i="8"/>
  <c r="AW104" i="8"/>
  <c r="AW103" i="8"/>
  <c r="AW102" i="8"/>
  <c r="AW101" i="8"/>
  <c r="AW100" i="8"/>
  <c r="AW99" i="8"/>
  <c r="AW98" i="8"/>
  <c r="AW97" i="8"/>
  <c r="AW96" i="8"/>
  <c r="AW95" i="8"/>
  <c r="AW94" i="8"/>
  <c r="AW93" i="8"/>
  <c r="AW92" i="8"/>
  <c r="AW91" i="8"/>
  <c r="AW90" i="8"/>
  <c r="AW89" i="8"/>
  <c r="AW88" i="8"/>
  <c r="AW87" i="8"/>
  <c r="AW86" i="8"/>
  <c r="AW85" i="8"/>
  <c r="AW84" i="8"/>
  <c r="AW83" i="8"/>
  <c r="AW82" i="8"/>
  <c r="AW81" i="8"/>
  <c r="AW80" i="8"/>
  <c r="AW79" i="8"/>
  <c r="AW78" i="8"/>
  <c r="AW77" i="8"/>
  <c r="AW76" i="8"/>
  <c r="AW75" i="8"/>
  <c r="AW74" i="8"/>
  <c r="AW73" i="8"/>
  <c r="AW72" i="8"/>
  <c r="AW71" i="8"/>
  <c r="AW70" i="8"/>
  <c r="AW69" i="8"/>
  <c r="AW68" i="8"/>
  <c r="AW67" i="8"/>
  <c r="AW66" i="8"/>
  <c r="AW65" i="8"/>
  <c r="AW64" i="8"/>
  <c r="AW63" i="8"/>
  <c r="AW62" i="8"/>
  <c r="AW61" i="8"/>
  <c r="AW60" i="8"/>
  <c r="AW59" i="8"/>
  <c r="AW58" i="8"/>
  <c r="AW57" i="8"/>
  <c r="AW56" i="8"/>
  <c r="AW55" i="8"/>
  <c r="AW54" i="8"/>
  <c r="AW53" i="8"/>
  <c r="AW52" i="8"/>
  <c r="AW51" i="8"/>
  <c r="AW50" i="8"/>
  <c r="AW49" i="8"/>
  <c r="AW48" i="8"/>
  <c r="AW47" i="8"/>
  <c r="AW46" i="8"/>
  <c r="AW45" i="8"/>
  <c r="AW44" i="8"/>
  <c r="AW43" i="8"/>
  <c r="AW42" i="8"/>
  <c r="AW41" i="8"/>
  <c r="AW40" i="8"/>
  <c r="AW39" i="8"/>
  <c r="AW38" i="8"/>
  <c r="AW37" i="8"/>
  <c r="AW36" i="8"/>
  <c r="AW35" i="8"/>
  <c r="AW34" i="8"/>
  <c r="AW33" i="8"/>
  <c r="AW32" i="8"/>
  <c r="AW31" i="8"/>
  <c r="AW30" i="8"/>
  <c r="AW29" i="8"/>
  <c r="AW28" i="8"/>
  <c r="AW27" i="8"/>
  <c r="AW26" i="8"/>
  <c r="AW25" i="8"/>
  <c r="AW24" i="8"/>
  <c r="AW23" i="8"/>
  <c r="AW22" i="8"/>
  <c r="AW20" i="8"/>
  <c r="AW19" i="8"/>
  <c r="AW18" i="8"/>
  <c r="AW17" i="8"/>
  <c r="AW16" i="8"/>
  <c r="AW15" i="8"/>
  <c r="AW14" i="8"/>
  <c r="AW13" i="8"/>
  <c r="AW12" i="8"/>
  <c r="AW11" i="8"/>
  <c r="AW10" i="8"/>
  <c r="AW9" i="8"/>
  <c r="AW8" i="8"/>
  <c r="AW7" i="8"/>
  <c r="AW6" i="8"/>
  <c r="AW5" i="8"/>
  <c r="K144" i="13" l="1"/>
  <c r="K150" i="13"/>
  <c r="H140" i="14"/>
  <c r="K114" i="14"/>
  <c r="K146" i="13"/>
  <c r="L112" i="14"/>
  <c r="L113" i="14"/>
  <c r="J140" i="13"/>
  <c r="J30" i="16"/>
  <c r="K30" i="16" s="1"/>
  <c r="J7" i="16"/>
  <c r="K7" i="16" s="1"/>
  <c r="K29" i="16"/>
  <c r="J29" i="16"/>
  <c r="J8" i="16"/>
  <c r="K8" i="16" s="1"/>
  <c r="J38" i="16"/>
  <c r="K38" i="16" s="1"/>
  <c r="J26" i="16"/>
  <c r="K26" i="16" s="1"/>
  <c r="K35" i="16"/>
  <c r="J35" i="16"/>
  <c r="J5" i="16"/>
  <c r="K5" i="16" s="1"/>
  <c r="J27" i="16"/>
  <c r="K27" i="16" s="1"/>
  <c r="K31" i="16"/>
  <c r="K19" i="16"/>
  <c r="K6" i="16"/>
  <c r="K23" i="16"/>
  <c r="K40" i="16"/>
  <c r="J40" i="16"/>
  <c r="J6" i="16"/>
  <c r="J9" i="16"/>
  <c r="K9" i="16" s="1"/>
  <c r="J11" i="16"/>
  <c r="K11" i="16" s="1"/>
  <c r="J13" i="16"/>
  <c r="K13" i="16" s="1"/>
  <c r="J15" i="16"/>
  <c r="K15" i="16" s="1"/>
  <c r="J17" i="16"/>
  <c r="K17" i="16" s="1"/>
  <c r="J19" i="16"/>
  <c r="J21" i="16"/>
  <c r="K21" i="16" s="1"/>
  <c r="J23" i="16"/>
  <c r="J25" i="16"/>
  <c r="K25" i="16" s="1"/>
  <c r="J28" i="16"/>
  <c r="K28" i="16" s="1"/>
  <c r="J31" i="16"/>
  <c r="J33" i="16"/>
  <c r="K33" i="16" s="1"/>
  <c r="J50" i="15"/>
  <c r="K50" i="15" s="1"/>
  <c r="J155" i="15"/>
  <c r="K155" i="15" s="1"/>
  <c r="J127" i="15"/>
  <c r="K127" i="15" s="1"/>
  <c r="J42" i="15"/>
  <c r="K42" i="15" s="1"/>
  <c r="K47" i="15"/>
  <c r="J47" i="15"/>
  <c r="J130" i="15"/>
  <c r="K130" i="15" s="1"/>
  <c r="J303" i="15"/>
  <c r="K303" i="15" s="1"/>
  <c r="J11" i="15"/>
  <c r="K11" i="15" s="1"/>
  <c r="J124" i="15"/>
  <c r="K124" i="15" s="1"/>
  <c r="J135" i="15"/>
  <c r="K135" i="15" s="1"/>
  <c r="J6" i="15"/>
  <c r="K6" i="15" s="1"/>
  <c r="J33" i="15"/>
  <c r="K33" i="15" s="1"/>
  <c r="K12" i="15"/>
  <c r="J12" i="15"/>
  <c r="J36" i="15"/>
  <c r="K36" i="15" s="1"/>
  <c r="J121" i="15"/>
  <c r="K121" i="15" s="1"/>
  <c r="K19" i="15"/>
  <c r="J19" i="15"/>
  <c r="J27" i="15"/>
  <c r="K27" i="15" s="1"/>
  <c r="K61" i="15"/>
  <c r="J24" i="15"/>
  <c r="K24" i="15" s="1"/>
  <c r="K46" i="15"/>
  <c r="K55" i="15"/>
  <c r="K63" i="15"/>
  <c r="J63" i="15"/>
  <c r="J66" i="15"/>
  <c r="K66" i="15" s="1"/>
  <c r="J71" i="15"/>
  <c r="K71" i="15" s="1"/>
  <c r="K87" i="15"/>
  <c r="J87" i="15"/>
  <c r="J91" i="15"/>
  <c r="K91" i="15" s="1"/>
  <c r="K97" i="15"/>
  <c r="J103" i="15"/>
  <c r="K103" i="15" s="1"/>
  <c r="J172" i="15"/>
  <c r="K172" i="15" s="1"/>
  <c r="J298" i="15"/>
  <c r="K298" i="15" s="1"/>
  <c r="K343" i="15"/>
  <c r="K380" i="15"/>
  <c r="K74" i="15"/>
  <c r="J295" i="15"/>
  <c r="K295" i="15"/>
  <c r="J374" i="15"/>
  <c r="K374" i="15" s="1"/>
  <c r="J61" i="15"/>
  <c r="J69" i="15"/>
  <c r="K69" i="15" s="1"/>
  <c r="J92" i="15"/>
  <c r="K92" i="15" s="1"/>
  <c r="J120" i="15"/>
  <c r="K120" i="15" s="1"/>
  <c r="J129" i="15"/>
  <c r="K129" i="15" s="1"/>
  <c r="K163" i="15"/>
  <c r="K169" i="15"/>
  <c r="J169" i="15"/>
  <c r="J179" i="15"/>
  <c r="K179" i="15"/>
  <c r="J273" i="15"/>
  <c r="K273" i="15" s="1"/>
  <c r="K5" i="15"/>
  <c r="J7" i="15"/>
  <c r="K7" i="15" s="1"/>
  <c r="J9" i="15"/>
  <c r="K9" i="15" s="1"/>
  <c r="J17" i="15"/>
  <c r="K17" i="15" s="1"/>
  <c r="K25" i="15"/>
  <c r="J28" i="15"/>
  <c r="K28" i="15" s="1"/>
  <c r="K80" i="15"/>
  <c r="J80" i="15"/>
  <c r="J89" i="15"/>
  <c r="K89" i="15" s="1"/>
  <c r="K118" i="15"/>
  <c r="J118" i="15"/>
  <c r="J139" i="15"/>
  <c r="K139" i="15" s="1"/>
  <c r="K167" i="15"/>
  <c r="J167" i="15"/>
  <c r="J177" i="15"/>
  <c r="K177" i="15" s="1"/>
  <c r="J210" i="15"/>
  <c r="K210" i="15" s="1"/>
  <c r="K250" i="15"/>
  <c r="J250" i="15"/>
  <c r="J256" i="15"/>
  <c r="K256" i="15" s="1"/>
  <c r="K284" i="15"/>
  <c r="J305" i="15"/>
  <c r="K305" i="15" s="1"/>
  <c r="J316" i="15"/>
  <c r="K316" i="15" s="1"/>
  <c r="J325" i="15"/>
  <c r="K325" i="15" s="1"/>
  <c r="J365" i="15"/>
  <c r="K365" i="15" s="1"/>
  <c r="J368" i="15"/>
  <c r="K368" i="15"/>
  <c r="J389" i="15"/>
  <c r="K389" i="15" s="1"/>
  <c r="K35" i="15"/>
  <c r="J35" i="15"/>
  <c r="K151" i="15"/>
  <c r="K182" i="15"/>
  <c r="J182" i="15"/>
  <c r="J232" i="15"/>
  <c r="K232" i="15" s="1"/>
  <c r="J259" i="15"/>
  <c r="K259" i="15" s="1"/>
  <c r="K319" i="15"/>
  <c r="J319" i="15"/>
  <c r="K14" i="15"/>
  <c r="K53" i="15"/>
  <c r="K64" i="15"/>
  <c r="J108" i="15"/>
  <c r="K108" i="15" s="1"/>
  <c r="K123" i="15"/>
  <c r="J123" i="15"/>
  <c r="J132" i="15"/>
  <c r="K132" i="15" s="1"/>
  <c r="J142" i="15"/>
  <c r="K142" i="15" s="1"/>
  <c r="K148" i="15"/>
  <c r="J148" i="15"/>
  <c r="K15" i="15"/>
  <c r="J21" i="15"/>
  <c r="K21" i="15" s="1"/>
  <c r="J48" i="15"/>
  <c r="K48" i="15" s="1"/>
  <c r="K59" i="15"/>
  <c r="K106" i="15"/>
  <c r="K109" i="15"/>
  <c r="K112" i="15"/>
  <c r="K115" i="15"/>
  <c r="J133" i="15"/>
  <c r="K133" i="15" s="1"/>
  <c r="J149" i="15"/>
  <c r="K149" i="15" s="1"/>
  <c r="K161" i="15"/>
  <c r="K174" i="15"/>
  <c r="J174" i="15"/>
  <c r="J284" i="15"/>
  <c r="J306" i="15"/>
  <c r="K306" i="15" s="1"/>
  <c r="J332" i="15"/>
  <c r="K332" i="15" s="1"/>
  <c r="K353" i="15"/>
  <c r="J353" i="15"/>
  <c r="J359" i="15"/>
  <c r="K359" i="15" s="1"/>
  <c r="J366" i="15"/>
  <c r="K366" i="15" s="1"/>
  <c r="K369" i="15"/>
  <c r="J369" i="15"/>
  <c r="J30" i="15"/>
  <c r="K30" i="15" s="1"/>
  <c r="K52" i="15"/>
  <c r="J52" i="15"/>
  <c r="K58" i="15"/>
  <c r="K111" i="15"/>
  <c r="J219" i="15"/>
  <c r="K219" i="15" s="1"/>
  <c r="K38" i="15"/>
  <c r="K67" i="15"/>
  <c r="J74" i="15"/>
  <c r="J85" i="15"/>
  <c r="K85" i="15" s="1"/>
  <c r="K95" i="15"/>
  <c r="J104" i="15"/>
  <c r="K104" i="15" s="1"/>
  <c r="J114" i="15"/>
  <c r="K114" i="15" s="1"/>
  <c r="K126" i="15"/>
  <c r="J126" i="15"/>
  <c r="J29" i="15"/>
  <c r="K29" i="15" s="1"/>
  <c r="K57" i="15"/>
  <c r="J57" i="15"/>
  <c r="J60" i="15"/>
  <c r="K60" i="15" s="1"/>
  <c r="K65" i="15"/>
  <c r="K76" i="15"/>
  <c r="K78" i="15"/>
  <c r="J78" i="15"/>
  <c r="J106" i="15"/>
  <c r="J110" i="15"/>
  <c r="K110" i="15" s="1"/>
  <c r="K113" i="15"/>
  <c r="J113" i="15"/>
  <c r="J116" i="15"/>
  <c r="K116" i="15" s="1"/>
  <c r="J137" i="15"/>
  <c r="K137" i="15" s="1"/>
  <c r="K140" i="15"/>
  <c r="J140" i="15"/>
  <c r="K153" i="15"/>
  <c r="J184" i="15"/>
  <c r="K184" i="15" s="1"/>
  <c r="K237" i="15"/>
  <c r="K239" i="15"/>
  <c r="J239" i="15"/>
  <c r="J313" i="15"/>
  <c r="K313" i="15" s="1"/>
  <c r="J322" i="15"/>
  <c r="K322" i="15" s="1"/>
  <c r="K347" i="15"/>
  <c r="K180" i="15"/>
  <c r="J203" i="15"/>
  <c r="K203" i="15" s="1"/>
  <c r="K230" i="15"/>
  <c r="K240" i="15"/>
  <c r="K242" i="15"/>
  <c r="J242" i="15"/>
  <c r="J247" i="15"/>
  <c r="K247" i="15" s="1"/>
  <c r="J268" i="15"/>
  <c r="K268" i="15" s="1"/>
  <c r="K320" i="15"/>
  <c r="K323" i="15"/>
  <c r="J329" i="15"/>
  <c r="K329" i="15" s="1"/>
  <c r="J351" i="15"/>
  <c r="K351" i="15" s="1"/>
  <c r="K357" i="15"/>
  <c r="J357" i="15"/>
  <c r="J371" i="15"/>
  <c r="K371" i="15"/>
  <c r="J82" i="15"/>
  <c r="K82" i="15" s="1"/>
  <c r="J84" i="15"/>
  <c r="K84" i="15" s="1"/>
  <c r="J93" i="15"/>
  <c r="K93" i="15" s="1"/>
  <c r="J95" i="15"/>
  <c r="J97" i="15"/>
  <c r="J99" i="15"/>
  <c r="K99" i="15" s="1"/>
  <c r="J101" i="15"/>
  <c r="K101" i="15" s="1"/>
  <c r="J144" i="15"/>
  <c r="K144" i="15" s="1"/>
  <c r="J146" i="15"/>
  <c r="K146" i="15" s="1"/>
  <c r="J157" i="15"/>
  <c r="K157" i="15" s="1"/>
  <c r="J159" i="15"/>
  <c r="K159" i="15" s="1"/>
  <c r="J161" i="15"/>
  <c r="J163" i="15"/>
  <c r="J165" i="15"/>
  <c r="K165" i="15" s="1"/>
  <c r="J170" i="15"/>
  <c r="K170" i="15" s="1"/>
  <c r="J175" i="15"/>
  <c r="K175" i="15" s="1"/>
  <c r="J180" i="15"/>
  <c r="K199" i="15"/>
  <c r="J201" i="15"/>
  <c r="K201" i="15" s="1"/>
  <c r="K206" i="15"/>
  <c r="K208" i="15"/>
  <c r="J208" i="15"/>
  <c r="K217" i="15"/>
  <c r="J230" i="15"/>
  <c r="J240" i="15"/>
  <c r="J288" i="15"/>
  <c r="K288" i="15" s="1"/>
  <c r="J292" i="15"/>
  <c r="K292" i="15" s="1"/>
  <c r="J296" i="15"/>
  <c r="K296" i="15" s="1"/>
  <c r="J311" i="15"/>
  <c r="K311" i="15" s="1"/>
  <c r="J314" i="15"/>
  <c r="K314" i="15" s="1"/>
  <c r="J317" i="15"/>
  <c r="K317" i="15" s="1"/>
  <c r="J320" i="15"/>
  <c r="J323" i="15"/>
  <c r="J336" i="15"/>
  <c r="K336" i="15" s="1"/>
  <c r="K345" i="15"/>
  <c r="K348" i="15"/>
  <c r="J26" i="15"/>
  <c r="K26" i="15" s="1"/>
  <c r="J32" i="15"/>
  <c r="K32" i="15" s="1"/>
  <c r="J38" i="15"/>
  <c r="J44" i="15"/>
  <c r="K44" i="15" s="1"/>
  <c r="J46" i="15"/>
  <c r="J49" i="15"/>
  <c r="K49" i="15" s="1"/>
  <c r="J105" i="15"/>
  <c r="K105" i="15" s="1"/>
  <c r="J107" i="15"/>
  <c r="K107" i="15" s="1"/>
  <c r="K243" i="15"/>
  <c r="J245" i="15"/>
  <c r="K245" i="15" s="1"/>
  <c r="K253" i="15"/>
  <c r="J253" i="15"/>
  <c r="J266" i="15"/>
  <c r="K266" i="15" s="1"/>
  <c r="J277" i="15"/>
  <c r="K277" i="15" s="1"/>
  <c r="J327" i="15"/>
  <c r="K327" i="15" s="1"/>
  <c r="K330" i="15"/>
  <c r="K333" i="15"/>
  <c r="J341" i="15"/>
  <c r="K341" i="15" s="1"/>
  <c r="J345" i="15"/>
  <c r="J349" i="15"/>
  <c r="K349" i="15" s="1"/>
  <c r="J355" i="15"/>
  <c r="K355" i="15" s="1"/>
  <c r="K361" i="15"/>
  <c r="J372" i="15"/>
  <c r="K372" i="15" s="1"/>
  <c r="K390" i="15"/>
  <c r="J197" i="15"/>
  <c r="K197" i="15" s="1"/>
  <c r="J204" i="15"/>
  <c r="K204" i="15" s="1"/>
  <c r="J215" i="15"/>
  <c r="K215" i="15" s="1"/>
  <c r="J236" i="15"/>
  <c r="K236" i="15" s="1"/>
  <c r="J243" i="15"/>
  <c r="K275" i="15"/>
  <c r="J286" i="15"/>
  <c r="K286" i="15" s="1"/>
  <c r="K290" i="15"/>
  <c r="K294" i="15"/>
  <c r="J300" i="15"/>
  <c r="K300" i="15" s="1"/>
  <c r="K312" i="15"/>
  <c r="K315" i="15"/>
  <c r="K318" i="15"/>
  <c r="K321" i="15"/>
  <c r="J334" i="15"/>
  <c r="K334" i="15" s="1"/>
  <c r="J376" i="15"/>
  <c r="K376" i="15" s="1"/>
  <c r="K382" i="15"/>
  <c r="J391" i="15"/>
  <c r="K391" i="15" s="1"/>
  <c r="J171" i="15"/>
  <c r="K171" i="15" s="1"/>
  <c r="J361" i="15"/>
  <c r="J363" i="15"/>
  <c r="K363" i="15" s="1"/>
  <c r="J378" i="15"/>
  <c r="K378" i="15" s="1"/>
  <c r="J380" i="15"/>
  <c r="J382" i="15"/>
  <c r="J384" i="15"/>
  <c r="K384" i="15" s="1"/>
  <c r="J386" i="15"/>
  <c r="K386" i="15" s="1"/>
  <c r="J388" i="15"/>
  <c r="K388" i="15" s="1"/>
  <c r="L111" i="14"/>
  <c r="J140" i="14"/>
  <c r="H166" i="13"/>
  <c r="L147" i="13"/>
  <c r="H44" i="14"/>
  <c r="K112" i="14"/>
  <c r="K113" i="14"/>
  <c r="L114" i="14"/>
  <c r="J166" i="14"/>
  <c r="J42" i="14"/>
  <c r="D14" i="14"/>
  <c r="K108" i="14"/>
  <c r="L108" i="14"/>
  <c r="K111" i="14"/>
  <c r="H44" i="13"/>
  <c r="K142" i="13"/>
  <c r="K148" i="13"/>
  <c r="D8" i="13"/>
  <c r="H45" i="13"/>
  <c r="D14" i="13"/>
  <c r="J166" i="13"/>
  <c r="L145" i="13"/>
  <c r="H140" i="13"/>
  <c r="L143" i="13"/>
  <c r="L149" i="13"/>
  <c r="F142" i="13"/>
  <c r="F144" i="13"/>
  <c r="L144" i="13" s="1"/>
  <c r="F146" i="13"/>
  <c r="L146" i="13" s="1"/>
  <c r="F148" i="13"/>
  <c r="L148" i="13" s="1"/>
  <c r="F150" i="13"/>
  <c r="L150" i="13" s="1"/>
  <c r="K143" i="13"/>
  <c r="K145" i="13"/>
  <c r="K147" i="13"/>
  <c r="K149" i="13"/>
  <c r="H166" i="14" l="1"/>
  <c r="L142" i="13"/>
  <c r="N20" i="11" l="1"/>
  <c r="V20" i="11" s="1"/>
  <c r="M20" i="11"/>
  <c r="M19" i="11"/>
  <c r="N19" i="11" s="1"/>
  <c r="V19" i="11" s="1"/>
  <c r="N18" i="11"/>
  <c r="V18" i="11" s="1"/>
  <c r="M18" i="11"/>
  <c r="M17" i="11"/>
  <c r="N17" i="11" s="1"/>
  <c r="V17" i="11" s="1"/>
  <c r="N16" i="11"/>
  <c r="V16" i="11" s="1"/>
  <c r="M16" i="11"/>
  <c r="M15" i="11"/>
  <c r="N15" i="11" s="1"/>
  <c r="V15" i="11" s="1"/>
  <c r="N14" i="11"/>
  <c r="V14" i="11" s="1"/>
  <c r="M14" i="11"/>
  <c r="M13" i="11"/>
  <c r="N13" i="11" s="1"/>
  <c r="V13" i="11" s="1"/>
  <c r="N12" i="11"/>
  <c r="V12" i="11" s="1"/>
  <c r="M12" i="11"/>
  <c r="M11" i="11"/>
  <c r="N11" i="11" s="1"/>
  <c r="V11" i="11" s="1"/>
  <c r="N10" i="11"/>
  <c r="V10" i="11" s="1"/>
  <c r="M10" i="11"/>
  <c r="M9" i="11"/>
  <c r="N9" i="11" s="1"/>
  <c r="V9" i="11" s="1"/>
  <c r="N8" i="11"/>
  <c r="V8" i="11" s="1"/>
  <c r="M8" i="11"/>
  <c r="M7" i="11"/>
  <c r="N7" i="11" s="1"/>
  <c r="W7" i="11" s="1"/>
  <c r="F22" i="11" s="1"/>
  <c r="K22" i="11" s="1"/>
  <c r="N6" i="11"/>
  <c r="V6" i="11" s="1"/>
  <c r="M6" i="11"/>
  <c r="M5" i="11"/>
  <c r="N5" i="11" s="1"/>
  <c r="V5" i="11" s="1"/>
  <c r="F21" i="11" l="1"/>
  <c r="K21" i="11" s="1"/>
  <c r="I152" i="8"/>
  <c r="J152" i="8" s="1"/>
  <c r="G152" i="8"/>
  <c r="H152" i="8" s="1"/>
  <c r="I151" i="8"/>
  <c r="J151" i="8" s="1"/>
  <c r="G151" i="8"/>
  <c r="H151" i="8" s="1"/>
  <c r="E151" i="8"/>
  <c r="F151" i="8" s="1"/>
  <c r="I150" i="8"/>
  <c r="J150" i="8" s="1"/>
  <c r="G150" i="8"/>
  <c r="H150" i="8" s="1"/>
  <c r="E150" i="8"/>
  <c r="F150" i="8" s="1"/>
  <c r="I149" i="8"/>
  <c r="J149" i="8" s="1"/>
  <c r="G149" i="8"/>
  <c r="H149" i="8" s="1"/>
  <c r="E149" i="8"/>
  <c r="I148" i="8"/>
  <c r="J148" i="8" s="1"/>
  <c r="G148" i="8"/>
  <c r="H148" i="8" s="1"/>
  <c r="E148" i="8"/>
  <c r="F148" i="8" s="1"/>
  <c r="I147" i="8"/>
  <c r="J147" i="8" s="1"/>
  <c r="G147" i="8"/>
  <c r="H147" i="8" s="1"/>
  <c r="E147" i="8"/>
  <c r="I146" i="8"/>
  <c r="J146" i="8" s="1"/>
  <c r="G146" i="8"/>
  <c r="H146" i="8" s="1"/>
  <c r="E146" i="8"/>
  <c r="F146" i="8" s="1"/>
  <c r="I145" i="8"/>
  <c r="J145" i="8" s="1"/>
  <c r="G145" i="8"/>
  <c r="H145" i="8" s="1"/>
  <c r="E145" i="8"/>
  <c r="F145" i="8" s="1"/>
  <c r="I144" i="8"/>
  <c r="J144" i="8" s="1"/>
  <c r="G144" i="8"/>
  <c r="H144" i="8" s="1"/>
  <c r="E144" i="8"/>
  <c r="F144" i="8" s="1"/>
  <c r="I143" i="8"/>
  <c r="J143" i="8" s="1"/>
  <c r="G143" i="8"/>
  <c r="H143" i="8" s="1"/>
  <c r="E143" i="8"/>
  <c r="I135" i="8"/>
  <c r="J135" i="8" s="1"/>
  <c r="G135" i="8"/>
  <c r="H135" i="8" s="1"/>
  <c r="I134" i="8"/>
  <c r="J134" i="8" s="1"/>
  <c r="G134" i="8"/>
  <c r="H134" i="8" s="1"/>
  <c r="I133" i="8"/>
  <c r="J133" i="8" s="1"/>
  <c r="G133" i="8"/>
  <c r="H133" i="8" s="1"/>
  <c r="I132" i="8"/>
  <c r="J132" i="8" s="1"/>
  <c r="G132" i="8"/>
  <c r="H132" i="8" s="1"/>
  <c r="I131" i="8"/>
  <c r="J131" i="8" s="1"/>
  <c r="G131" i="8"/>
  <c r="H131" i="8" s="1"/>
  <c r="I130" i="8"/>
  <c r="J130" i="8" s="1"/>
  <c r="G130" i="8"/>
  <c r="H130" i="8" s="1"/>
  <c r="I129" i="8"/>
  <c r="J129" i="8" s="1"/>
  <c r="G129" i="8"/>
  <c r="H129" i="8" s="1"/>
  <c r="I128" i="8"/>
  <c r="J128" i="8" s="1"/>
  <c r="G128" i="8"/>
  <c r="H128" i="8" s="1"/>
  <c r="I127" i="8"/>
  <c r="J127" i="8" s="1"/>
  <c r="G127" i="8"/>
  <c r="H127" i="8" s="1"/>
  <c r="I126" i="8"/>
  <c r="J126" i="8" s="1"/>
  <c r="G126" i="8"/>
  <c r="H126" i="8" s="1"/>
  <c r="I125" i="8"/>
  <c r="G125" i="8"/>
  <c r="H125" i="8" s="1"/>
  <c r="I124" i="8"/>
  <c r="J124" i="8" s="1"/>
  <c r="G124" i="8"/>
  <c r="H124" i="8" s="1"/>
  <c r="I123" i="8"/>
  <c r="J123" i="8" s="1"/>
  <c r="G123" i="8"/>
  <c r="H123" i="8" s="1"/>
  <c r="I122" i="8"/>
  <c r="J122" i="8" s="1"/>
  <c r="G122" i="8"/>
  <c r="H122" i="8" s="1"/>
  <c r="I121" i="8"/>
  <c r="J121" i="8" s="1"/>
  <c r="G121" i="8"/>
  <c r="H121" i="8" s="1"/>
  <c r="I120" i="8"/>
  <c r="J120" i="8" s="1"/>
  <c r="G120" i="8"/>
  <c r="H120" i="8" s="1"/>
  <c r="I119" i="8"/>
  <c r="J119" i="8" s="1"/>
  <c r="G119" i="8"/>
  <c r="H119" i="8" s="1"/>
  <c r="I118" i="8"/>
  <c r="J118" i="8" s="1"/>
  <c r="G118" i="8"/>
  <c r="H118" i="8" s="1"/>
  <c r="I117" i="8"/>
  <c r="G117" i="8"/>
  <c r="H117" i="8" s="1"/>
  <c r="I116" i="8"/>
  <c r="J116" i="8" s="1"/>
  <c r="G116" i="8"/>
  <c r="H116" i="8" s="1"/>
  <c r="I115" i="8"/>
  <c r="J115" i="8" s="1"/>
  <c r="G115" i="8"/>
  <c r="H115" i="8" s="1"/>
  <c r="E115" i="8"/>
  <c r="F115" i="8" s="1"/>
  <c r="I114" i="8"/>
  <c r="J114" i="8" s="1"/>
  <c r="G114" i="8"/>
  <c r="H114" i="8" s="1"/>
  <c r="E114" i="8"/>
  <c r="F114" i="8" s="1"/>
  <c r="I113" i="8"/>
  <c r="J113" i="8" s="1"/>
  <c r="G113" i="8"/>
  <c r="H113" i="8" s="1"/>
  <c r="E113" i="8"/>
  <c r="F113" i="8" s="1"/>
  <c r="I112" i="8"/>
  <c r="J112" i="8" s="1"/>
  <c r="G112" i="8"/>
  <c r="H112" i="8" s="1"/>
  <c r="E112" i="8"/>
  <c r="I111" i="8"/>
  <c r="J111" i="8" s="1"/>
  <c r="G111" i="8"/>
  <c r="H111" i="8" s="1"/>
  <c r="I110" i="8"/>
  <c r="J110" i="8" s="1"/>
  <c r="G110" i="8"/>
  <c r="H110" i="8" s="1"/>
  <c r="I109" i="8"/>
  <c r="J109" i="8" s="1"/>
  <c r="G109" i="8"/>
  <c r="H109" i="8" s="1"/>
  <c r="E109" i="8"/>
  <c r="F109" i="8" s="1"/>
  <c r="I108" i="8"/>
  <c r="J108" i="8" s="1"/>
  <c r="G108" i="8"/>
  <c r="H108" i="8" s="1"/>
  <c r="I107" i="8"/>
  <c r="J107" i="8" s="1"/>
  <c r="G107" i="8"/>
  <c r="H107" i="8" s="1"/>
  <c r="I106" i="8"/>
  <c r="J106" i="8" s="1"/>
  <c r="G106" i="8"/>
  <c r="H106" i="8" s="1"/>
  <c r="I105" i="8"/>
  <c r="J105" i="8" s="1"/>
  <c r="G105" i="8"/>
  <c r="H105" i="8" s="1"/>
  <c r="I104" i="8"/>
  <c r="J104" i="8" s="1"/>
  <c r="G104" i="8"/>
  <c r="H104" i="8" s="1"/>
  <c r="I103" i="8"/>
  <c r="J103" i="8" s="1"/>
  <c r="G103" i="8"/>
  <c r="H103" i="8" s="1"/>
  <c r="I102" i="8"/>
  <c r="J102" i="8" s="1"/>
  <c r="G102" i="8"/>
  <c r="H102" i="8" s="1"/>
  <c r="I101" i="8"/>
  <c r="J101" i="8" s="1"/>
  <c r="G101" i="8"/>
  <c r="H101" i="8" s="1"/>
  <c r="I100" i="8"/>
  <c r="J100" i="8" s="1"/>
  <c r="G100" i="8"/>
  <c r="H100" i="8" s="1"/>
  <c r="I99" i="8"/>
  <c r="J99" i="8" s="1"/>
  <c r="G99" i="8"/>
  <c r="H99" i="8" s="1"/>
  <c r="I98" i="8"/>
  <c r="J98" i="8" s="1"/>
  <c r="G98" i="8"/>
  <c r="H98" i="8" s="1"/>
  <c r="I97" i="8"/>
  <c r="J97" i="8" s="1"/>
  <c r="G97" i="8"/>
  <c r="H97" i="8" s="1"/>
  <c r="I96" i="8"/>
  <c r="J96" i="8" s="1"/>
  <c r="G96" i="8"/>
  <c r="H96" i="8" s="1"/>
  <c r="I95" i="8"/>
  <c r="J95" i="8" s="1"/>
  <c r="G95" i="8"/>
  <c r="H95" i="8" s="1"/>
  <c r="I94" i="8"/>
  <c r="J94" i="8" s="1"/>
  <c r="G94" i="8"/>
  <c r="H94" i="8" s="1"/>
  <c r="I93" i="8"/>
  <c r="J93" i="8" s="1"/>
  <c r="G93" i="8"/>
  <c r="H93" i="8" s="1"/>
  <c r="I92" i="8"/>
  <c r="J92" i="8" s="1"/>
  <c r="G92" i="8"/>
  <c r="H92" i="8" s="1"/>
  <c r="I91" i="8"/>
  <c r="G91" i="8"/>
  <c r="H91" i="8" s="1"/>
  <c r="I90" i="8"/>
  <c r="J90" i="8" s="1"/>
  <c r="G90" i="8"/>
  <c r="H90" i="8" s="1"/>
  <c r="I89" i="8"/>
  <c r="J89" i="8" s="1"/>
  <c r="G89" i="8"/>
  <c r="H89" i="8" s="1"/>
  <c r="I88" i="8"/>
  <c r="J88" i="8" s="1"/>
  <c r="G88" i="8"/>
  <c r="H88" i="8" s="1"/>
  <c r="I87" i="8"/>
  <c r="J87" i="8" s="1"/>
  <c r="G87" i="8"/>
  <c r="H87" i="8" s="1"/>
  <c r="I86" i="8"/>
  <c r="G86" i="8"/>
  <c r="H86" i="8" s="1"/>
  <c r="I85" i="8"/>
  <c r="G85" i="8"/>
  <c r="H85" i="8" s="1"/>
  <c r="I84" i="8"/>
  <c r="J84" i="8" s="1"/>
  <c r="G84" i="8"/>
  <c r="H84" i="8" s="1"/>
  <c r="I83" i="8"/>
  <c r="J83" i="8" s="1"/>
  <c r="G83" i="8"/>
  <c r="H83" i="8" s="1"/>
  <c r="I82" i="8"/>
  <c r="J82" i="8" s="1"/>
  <c r="G82" i="8"/>
  <c r="H82" i="8" s="1"/>
  <c r="I81" i="8"/>
  <c r="J81" i="8" s="1"/>
  <c r="G81" i="8"/>
  <c r="H81" i="8" s="1"/>
  <c r="I80" i="8"/>
  <c r="J80" i="8" s="1"/>
  <c r="G80" i="8"/>
  <c r="H80" i="8" s="1"/>
  <c r="I79" i="8"/>
  <c r="J79" i="8" s="1"/>
  <c r="G79" i="8"/>
  <c r="H79" i="8" s="1"/>
  <c r="I78" i="8"/>
  <c r="J78" i="8" s="1"/>
  <c r="G78" i="8"/>
  <c r="H78" i="8" s="1"/>
  <c r="I77" i="8"/>
  <c r="J77" i="8" s="1"/>
  <c r="G77" i="8"/>
  <c r="H77" i="8" s="1"/>
  <c r="I76" i="8"/>
  <c r="G76" i="8"/>
  <c r="H76" i="8" s="1"/>
  <c r="I75" i="8"/>
  <c r="J75" i="8" s="1"/>
  <c r="G75" i="8"/>
  <c r="H75" i="8" s="1"/>
  <c r="I74" i="8"/>
  <c r="J74" i="8" s="1"/>
  <c r="G74" i="8"/>
  <c r="H74" i="8" s="1"/>
  <c r="I73" i="8"/>
  <c r="G73" i="8"/>
  <c r="H73" i="8" s="1"/>
  <c r="I72" i="8"/>
  <c r="J72" i="8" s="1"/>
  <c r="G72" i="8"/>
  <c r="H72" i="8" s="1"/>
  <c r="I71" i="8"/>
  <c r="J71" i="8" s="1"/>
  <c r="G71" i="8"/>
  <c r="H71" i="8" s="1"/>
  <c r="I70" i="8"/>
  <c r="J70" i="8" s="1"/>
  <c r="G70" i="8"/>
  <c r="H70" i="8" s="1"/>
  <c r="I69" i="8"/>
  <c r="J69" i="8" s="1"/>
  <c r="G69" i="8"/>
  <c r="H69" i="8" s="1"/>
  <c r="I68" i="8"/>
  <c r="J68" i="8" s="1"/>
  <c r="G68" i="8"/>
  <c r="H68" i="8" s="1"/>
  <c r="I67" i="8"/>
  <c r="J67" i="8" s="1"/>
  <c r="G67" i="8"/>
  <c r="H67" i="8" s="1"/>
  <c r="I66" i="8"/>
  <c r="J66" i="8" s="1"/>
  <c r="G66" i="8"/>
  <c r="H66" i="8" s="1"/>
  <c r="I65" i="8"/>
  <c r="J65" i="8" s="1"/>
  <c r="G65" i="8"/>
  <c r="O141" i="5"/>
  <c r="O131" i="5"/>
  <c r="O130" i="5"/>
  <c r="O129" i="5"/>
  <c r="E133" i="8" s="1"/>
  <c r="F133" i="8" s="1"/>
  <c r="O128" i="5"/>
  <c r="E132" i="8" s="1"/>
  <c r="O127" i="5"/>
  <c r="O126" i="5"/>
  <c r="E130" i="8" s="1"/>
  <c r="F130" i="8" s="1"/>
  <c r="O125" i="5"/>
  <c r="O124" i="5"/>
  <c r="O123" i="5"/>
  <c r="E127" i="8" s="1"/>
  <c r="F127" i="8" s="1"/>
  <c r="O122" i="5"/>
  <c r="E126" i="8" s="1"/>
  <c r="F126" i="8" s="1"/>
  <c r="O121" i="5"/>
  <c r="O120" i="5"/>
  <c r="E124" i="8" s="1"/>
  <c r="F124" i="8" s="1"/>
  <c r="O119" i="5"/>
  <c r="O118" i="5"/>
  <c r="O117" i="5"/>
  <c r="E121" i="8" s="1"/>
  <c r="F121" i="8" s="1"/>
  <c r="O116" i="5"/>
  <c r="E120" i="8" s="1"/>
  <c r="F120" i="8" s="1"/>
  <c r="O115" i="5"/>
  <c r="O114" i="5"/>
  <c r="E118" i="8" s="1"/>
  <c r="O113" i="5"/>
  <c r="O112" i="5"/>
  <c r="O107" i="5"/>
  <c r="E111" i="8" s="1"/>
  <c r="F111" i="8" s="1"/>
  <c r="O106" i="5"/>
  <c r="E110" i="8" s="1"/>
  <c r="O104" i="5"/>
  <c r="E108" i="8" s="1"/>
  <c r="O103" i="5"/>
  <c r="O102" i="5"/>
  <c r="O101" i="5"/>
  <c r="O100" i="5"/>
  <c r="E104" i="8" s="1"/>
  <c r="F104" i="8" s="1"/>
  <c r="O99" i="5"/>
  <c r="O98" i="5"/>
  <c r="E102" i="8" s="1"/>
  <c r="F102" i="8" s="1"/>
  <c r="O97" i="5"/>
  <c r="O96" i="5"/>
  <c r="O95" i="5"/>
  <c r="O94" i="5"/>
  <c r="E98" i="8" s="1"/>
  <c r="F98" i="8" s="1"/>
  <c r="O93" i="5"/>
  <c r="O92" i="5"/>
  <c r="E96" i="8" s="1"/>
  <c r="F96" i="8" s="1"/>
  <c r="O91" i="5"/>
  <c r="O90" i="5"/>
  <c r="O89" i="5"/>
  <c r="O88" i="5"/>
  <c r="E92" i="8" s="1"/>
  <c r="F92" i="8" s="1"/>
  <c r="O87" i="5"/>
  <c r="O86" i="5"/>
  <c r="E90" i="8" s="1"/>
  <c r="O85" i="5"/>
  <c r="O84" i="5"/>
  <c r="O83" i="5"/>
  <c r="O82" i="5"/>
  <c r="E86" i="8" s="1"/>
  <c r="F86" i="8" s="1"/>
  <c r="O81" i="5"/>
  <c r="O80" i="5"/>
  <c r="E84" i="8" s="1"/>
  <c r="F84" i="8" s="1"/>
  <c r="O79" i="5"/>
  <c r="O78" i="5"/>
  <c r="O77" i="5"/>
  <c r="O76" i="5"/>
  <c r="E80" i="8" s="1"/>
  <c r="F80" i="8" s="1"/>
  <c r="O75" i="5"/>
  <c r="O74" i="5"/>
  <c r="E78" i="8" s="1"/>
  <c r="F78" i="8" s="1"/>
  <c r="O73" i="5"/>
  <c r="O72" i="5"/>
  <c r="O71" i="5"/>
  <c r="O70" i="5"/>
  <c r="E74" i="8" s="1"/>
  <c r="F74" i="8" s="1"/>
  <c r="O69" i="5"/>
  <c r="O68" i="5"/>
  <c r="E72" i="8" s="1"/>
  <c r="O67" i="5"/>
  <c r="O66" i="5"/>
  <c r="O65" i="5"/>
  <c r="O64" i="5"/>
  <c r="E68" i="8" s="1"/>
  <c r="F68" i="8" s="1"/>
  <c r="O63" i="5"/>
  <c r="O62" i="5"/>
  <c r="E66" i="8" s="1"/>
  <c r="F66" i="8" s="1"/>
  <c r="O61" i="5"/>
  <c r="O48" i="5"/>
  <c r="O47" i="5"/>
  <c r="O46" i="5"/>
  <c r="O45" i="5"/>
  <c r="O44" i="5"/>
  <c r="O43" i="5"/>
  <c r="O42" i="5"/>
  <c r="O41" i="5"/>
  <c r="V40" i="5"/>
  <c r="O39" i="5"/>
  <c r="O38" i="5"/>
  <c r="O37" i="5"/>
  <c r="O36" i="5"/>
  <c r="O34" i="5"/>
  <c r="O33" i="5"/>
  <c r="O32" i="5"/>
  <c r="O31" i="5"/>
  <c r="O30" i="5"/>
  <c r="O29" i="5"/>
  <c r="O28" i="5"/>
  <c r="O27" i="5"/>
  <c r="O26" i="5"/>
  <c r="O25" i="5"/>
  <c r="O24" i="5"/>
  <c r="O23" i="5"/>
  <c r="O22" i="5"/>
  <c r="O21" i="5"/>
  <c r="O20" i="5"/>
  <c r="O19" i="5"/>
  <c r="O18" i="5"/>
  <c r="O17" i="5"/>
  <c r="O16" i="5"/>
  <c r="O15" i="5"/>
  <c r="O14" i="5"/>
  <c r="O13" i="5"/>
  <c r="O12" i="5"/>
  <c r="O11" i="5"/>
  <c r="O10" i="5"/>
  <c r="O9" i="5"/>
  <c r="O8" i="5"/>
  <c r="O7" i="5"/>
  <c r="V6" i="5"/>
  <c r="V5" i="5"/>
  <c r="J73" i="8"/>
  <c r="E68" i="14" l="1"/>
  <c r="E74" i="14"/>
  <c r="E80" i="14"/>
  <c r="E86" i="14"/>
  <c r="E92" i="14"/>
  <c r="E98" i="14"/>
  <c r="E104" i="14"/>
  <c r="E115" i="14"/>
  <c r="E121" i="14"/>
  <c r="E127" i="14"/>
  <c r="E133" i="14"/>
  <c r="E69" i="14"/>
  <c r="E75" i="14"/>
  <c r="E81" i="14"/>
  <c r="E87" i="14"/>
  <c r="E93" i="14"/>
  <c r="E99" i="14"/>
  <c r="E105" i="14"/>
  <c r="E116" i="14"/>
  <c r="E122" i="14"/>
  <c r="E128" i="14"/>
  <c r="E134" i="14"/>
  <c r="E70" i="8"/>
  <c r="E76" i="8"/>
  <c r="F76" i="8" s="1"/>
  <c r="E82" i="8"/>
  <c r="F82" i="8" s="1"/>
  <c r="E88" i="8"/>
  <c r="E94" i="8"/>
  <c r="F94" i="8" s="1"/>
  <c r="E100" i="8"/>
  <c r="E106" i="8"/>
  <c r="F106" i="8" s="1"/>
  <c r="E116" i="8"/>
  <c r="F116" i="8" s="1"/>
  <c r="E122" i="8"/>
  <c r="F122" i="8" s="1"/>
  <c r="E128" i="8"/>
  <c r="F128" i="8" s="1"/>
  <c r="E134" i="8"/>
  <c r="F134" i="8" s="1"/>
  <c r="E42" i="13"/>
  <c r="E42" i="14"/>
  <c r="E64" i="14"/>
  <c r="E70" i="14"/>
  <c r="E76" i="14"/>
  <c r="E82" i="14"/>
  <c r="E88" i="14"/>
  <c r="E94" i="14"/>
  <c r="E100" i="14"/>
  <c r="E106" i="14"/>
  <c r="E117" i="14"/>
  <c r="E123" i="14"/>
  <c r="E129" i="14"/>
  <c r="E151" i="13"/>
  <c r="E65" i="14"/>
  <c r="E71" i="14"/>
  <c r="E77" i="14"/>
  <c r="E83" i="14"/>
  <c r="E89" i="14"/>
  <c r="E95" i="14"/>
  <c r="E101" i="14"/>
  <c r="E107" i="14"/>
  <c r="E118" i="14"/>
  <c r="E124" i="14"/>
  <c r="E130" i="14"/>
  <c r="E45" i="13"/>
  <c r="E45" i="14"/>
  <c r="E66" i="14"/>
  <c r="E72" i="14"/>
  <c r="E78" i="14"/>
  <c r="E84" i="14"/>
  <c r="E90" i="14"/>
  <c r="E96" i="14"/>
  <c r="E102" i="14"/>
  <c r="E109" i="14"/>
  <c r="E119" i="14"/>
  <c r="E125" i="14"/>
  <c r="E131" i="14"/>
  <c r="E65" i="8"/>
  <c r="F65" i="8" s="1"/>
  <c r="E67" i="8"/>
  <c r="F67" i="8" s="1"/>
  <c r="E69" i="8"/>
  <c r="E71" i="8"/>
  <c r="E73" i="8"/>
  <c r="F73" i="8" s="1"/>
  <c r="E75" i="8"/>
  <c r="F75" i="8" s="1"/>
  <c r="E77" i="8"/>
  <c r="F77" i="8" s="1"/>
  <c r="E79" i="8"/>
  <c r="F79" i="8" s="1"/>
  <c r="E81" i="8"/>
  <c r="F81" i="8" s="1"/>
  <c r="E83" i="8"/>
  <c r="F83" i="8" s="1"/>
  <c r="E85" i="8"/>
  <c r="F85" i="8" s="1"/>
  <c r="E87" i="8"/>
  <c r="F87" i="8" s="1"/>
  <c r="E89" i="8"/>
  <c r="F89" i="8" s="1"/>
  <c r="E91" i="8"/>
  <c r="F91" i="8" s="1"/>
  <c r="E93" i="8"/>
  <c r="F93" i="8" s="1"/>
  <c r="E95" i="8"/>
  <c r="F95" i="8" s="1"/>
  <c r="E97" i="8"/>
  <c r="E99" i="8"/>
  <c r="F99" i="8" s="1"/>
  <c r="E101" i="8"/>
  <c r="F101" i="8" s="1"/>
  <c r="E103" i="8"/>
  <c r="F103" i="8" s="1"/>
  <c r="E105" i="8"/>
  <c r="F105" i="8" s="1"/>
  <c r="E107" i="8"/>
  <c r="F107" i="8" s="1"/>
  <c r="E117" i="8"/>
  <c r="F117" i="8" s="1"/>
  <c r="E119" i="8"/>
  <c r="F119" i="8" s="1"/>
  <c r="E123" i="8"/>
  <c r="F123" i="8" s="1"/>
  <c r="E125" i="8"/>
  <c r="F125" i="8" s="1"/>
  <c r="E129" i="8"/>
  <c r="F129" i="8" s="1"/>
  <c r="E131" i="8"/>
  <c r="F131" i="8" s="1"/>
  <c r="E135" i="8"/>
  <c r="F135" i="8" s="1"/>
  <c r="E152" i="8"/>
  <c r="F152" i="8" s="1"/>
  <c r="E43" i="14"/>
  <c r="E43" i="13"/>
  <c r="I44" i="13"/>
  <c r="I44" i="14"/>
  <c r="E67" i="14"/>
  <c r="E73" i="14"/>
  <c r="E79" i="14"/>
  <c r="E85" i="14"/>
  <c r="E91" i="14"/>
  <c r="E97" i="14"/>
  <c r="E103" i="14"/>
  <c r="E110" i="14"/>
  <c r="E120" i="14"/>
  <c r="E126" i="14"/>
  <c r="E132" i="14"/>
  <c r="G15" i="13"/>
  <c r="H15" i="13" s="1"/>
  <c r="G25" i="14"/>
  <c r="H25" i="14" s="1"/>
  <c r="G35" i="13"/>
  <c r="H35" i="13" s="1"/>
  <c r="G14" i="14"/>
  <c r="H14" i="14" s="1"/>
  <c r="I26" i="13"/>
  <c r="J26" i="13" s="1"/>
  <c r="E10" i="13"/>
  <c r="E35" i="13"/>
  <c r="G28" i="14"/>
  <c r="H28" i="14" s="1"/>
  <c r="I39" i="14"/>
  <c r="I40" i="14"/>
  <c r="I21" i="14"/>
  <c r="J21" i="14" s="1"/>
  <c r="I26" i="14"/>
  <c r="J26" i="14" s="1"/>
  <c r="I31" i="13"/>
  <c r="I31" i="14"/>
  <c r="I32" i="14"/>
  <c r="J32" i="14" s="1"/>
  <c r="I32" i="13"/>
  <c r="J32" i="13" s="1"/>
  <c r="E33" i="13"/>
  <c r="E33" i="14"/>
  <c r="G32" i="14"/>
  <c r="H32" i="14" s="1"/>
  <c r="G32" i="13"/>
  <c r="H32" i="13" s="1"/>
  <c r="I34" i="13"/>
  <c r="I34" i="14"/>
  <c r="G36" i="14"/>
  <c r="H36" i="14" s="1"/>
  <c r="G36" i="13"/>
  <c r="H36" i="13" s="1"/>
  <c r="G37" i="13"/>
  <c r="H37" i="13" s="1"/>
  <c r="G37" i="14"/>
  <c r="H37" i="14" s="1"/>
  <c r="E31" i="14"/>
  <c r="E31" i="13"/>
  <c r="I33" i="14"/>
  <c r="J33" i="14" s="1"/>
  <c r="I33" i="13"/>
  <c r="J33" i="13" s="1"/>
  <c r="I36" i="13"/>
  <c r="J36" i="13" s="1"/>
  <c r="I36" i="14"/>
  <c r="J36" i="14" s="1"/>
  <c r="I37" i="14"/>
  <c r="I37" i="13"/>
  <c r="G34" i="13"/>
  <c r="H34" i="13" s="1"/>
  <c r="G34" i="14"/>
  <c r="H34" i="14" s="1"/>
  <c r="K83" i="8"/>
  <c r="K89" i="8"/>
  <c r="K95" i="8"/>
  <c r="K73" i="8"/>
  <c r="K79" i="8"/>
  <c r="K85" i="8"/>
  <c r="K91" i="8"/>
  <c r="K117" i="8"/>
  <c r="K121" i="8"/>
  <c r="K125" i="8"/>
  <c r="K127" i="8"/>
  <c r="K77" i="8"/>
  <c r="J85" i="8"/>
  <c r="L85" i="8" s="1"/>
  <c r="J91" i="8"/>
  <c r="L91" i="8" s="1"/>
  <c r="J117" i="8"/>
  <c r="L117" i="8" s="1"/>
  <c r="K131" i="8"/>
  <c r="K87" i="8"/>
  <c r="K93" i="8"/>
  <c r="K119" i="8"/>
  <c r="J125" i="8"/>
  <c r="L125" i="8" s="1"/>
  <c r="K75" i="8"/>
  <c r="K81" i="8"/>
  <c r="K123" i="8"/>
  <c r="K129" i="8"/>
  <c r="K69" i="8"/>
  <c r="K71" i="8"/>
  <c r="K97" i="8"/>
  <c r="K107" i="8"/>
  <c r="K109" i="8"/>
  <c r="K111" i="8"/>
  <c r="K113" i="8"/>
  <c r="K145" i="8"/>
  <c r="K151" i="8"/>
  <c r="K76" i="8"/>
  <c r="K86" i="8"/>
  <c r="F69" i="8"/>
  <c r="L69" i="8" s="1"/>
  <c r="F71" i="8"/>
  <c r="L71" i="8" s="1"/>
  <c r="J76" i="8"/>
  <c r="L76" i="8" s="1"/>
  <c r="J86" i="8"/>
  <c r="L86" i="8" s="1"/>
  <c r="F97" i="8"/>
  <c r="L97" i="8" s="1"/>
  <c r="K103" i="8"/>
  <c r="K105" i="8"/>
  <c r="K115" i="8"/>
  <c r="K144" i="8"/>
  <c r="K70" i="8"/>
  <c r="K72" i="8"/>
  <c r="K82" i="8"/>
  <c r="K88" i="8"/>
  <c r="K90" i="8"/>
  <c r="K96" i="8"/>
  <c r="K100" i="8"/>
  <c r="K102" i="8"/>
  <c r="K108" i="8"/>
  <c r="K110" i="8"/>
  <c r="K118" i="8"/>
  <c r="K124" i="8"/>
  <c r="K132" i="8"/>
  <c r="K134" i="8"/>
  <c r="K143" i="8"/>
  <c r="K152" i="8"/>
  <c r="K147" i="8"/>
  <c r="K149" i="8"/>
  <c r="L113" i="8"/>
  <c r="K133" i="8"/>
  <c r="K146" i="8"/>
  <c r="K148" i="8"/>
  <c r="K150" i="8"/>
  <c r="K74" i="8"/>
  <c r="F70" i="8"/>
  <c r="L70" i="8" s="1"/>
  <c r="F72" i="8"/>
  <c r="L72" i="8" s="1"/>
  <c r="K84" i="8"/>
  <c r="F88" i="8"/>
  <c r="L88" i="8" s="1"/>
  <c r="K104" i="8"/>
  <c r="F108" i="8"/>
  <c r="L108" i="8" s="1"/>
  <c r="K120" i="8"/>
  <c r="F132" i="8"/>
  <c r="L132" i="8" s="1"/>
  <c r="F147" i="8"/>
  <c r="L147" i="8" s="1"/>
  <c r="K66" i="8"/>
  <c r="F90" i="8"/>
  <c r="L90" i="8" s="1"/>
  <c r="K94" i="8"/>
  <c r="F100" i="8"/>
  <c r="L100" i="8" s="1"/>
  <c r="K106" i="8"/>
  <c r="F110" i="8"/>
  <c r="L110" i="8" s="1"/>
  <c r="F118" i="8"/>
  <c r="L118" i="8" s="1"/>
  <c r="K122" i="8"/>
  <c r="K130" i="8"/>
  <c r="F143" i="8"/>
  <c r="L143" i="8" s="1"/>
  <c r="F149" i="8"/>
  <c r="L149" i="8" s="1"/>
  <c r="K68" i="8"/>
  <c r="K78" i="8"/>
  <c r="K116" i="8"/>
  <c r="L93" i="8"/>
  <c r="H167" i="8"/>
  <c r="K65" i="8"/>
  <c r="K80" i="8"/>
  <c r="H65" i="8"/>
  <c r="L65" i="8" s="1"/>
  <c r="K67" i="8"/>
  <c r="K101" i="8"/>
  <c r="K99" i="8"/>
  <c r="L131" i="8"/>
  <c r="K135" i="8"/>
  <c r="L121" i="8"/>
  <c r="K92" i="8"/>
  <c r="L152" i="8"/>
  <c r="J167" i="8"/>
  <c r="L151" i="8"/>
  <c r="L150" i="8"/>
  <c r="L148" i="8"/>
  <c r="L146" i="8"/>
  <c r="L145" i="8"/>
  <c r="L144" i="8"/>
  <c r="L135" i="8"/>
  <c r="L134" i="8"/>
  <c r="L133" i="8"/>
  <c r="L130" i="8"/>
  <c r="L129" i="8"/>
  <c r="L128" i="8"/>
  <c r="K128" i="8"/>
  <c r="L127" i="8"/>
  <c r="K126" i="8"/>
  <c r="L126" i="8"/>
  <c r="L124" i="8"/>
  <c r="L123" i="8"/>
  <c r="L122" i="8"/>
  <c r="L120" i="8"/>
  <c r="L119" i="8"/>
  <c r="L116" i="8"/>
  <c r="L115" i="8"/>
  <c r="K114" i="8"/>
  <c r="L114" i="8"/>
  <c r="K112" i="8"/>
  <c r="F112" i="8"/>
  <c r="L112" i="8" s="1"/>
  <c r="L111" i="8"/>
  <c r="L109" i="8"/>
  <c r="L107" i="8"/>
  <c r="L106" i="8"/>
  <c r="L105" i="8"/>
  <c r="L104" i="8"/>
  <c r="L103" i="8"/>
  <c r="L102" i="8"/>
  <c r="L101" i="8"/>
  <c r="L99" i="8"/>
  <c r="K98" i="8"/>
  <c r="L98" i="8"/>
  <c r="L96" i="8"/>
  <c r="L95" i="8"/>
  <c r="L94" i="8"/>
  <c r="L92" i="8"/>
  <c r="L89" i="8"/>
  <c r="L87" i="8"/>
  <c r="L84" i="8"/>
  <c r="L83" i="8"/>
  <c r="L82" i="8"/>
  <c r="L81" i="8"/>
  <c r="L80" i="8"/>
  <c r="L79" i="8"/>
  <c r="L78" i="8"/>
  <c r="L77" i="8"/>
  <c r="L75" i="8"/>
  <c r="L74" i="8"/>
  <c r="L73" i="8"/>
  <c r="L68" i="8"/>
  <c r="L67" i="8"/>
  <c r="L66" i="8"/>
  <c r="I10" i="13" l="1"/>
  <c r="J10" i="13" s="1"/>
  <c r="F132" i="14"/>
  <c r="L132" i="14" s="1"/>
  <c r="K132" i="14"/>
  <c r="F110" i="14"/>
  <c r="L110" i="14" s="1"/>
  <c r="K110" i="14"/>
  <c r="F73" i="14"/>
  <c r="L73" i="14" s="1"/>
  <c r="K73" i="14"/>
  <c r="K43" i="13"/>
  <c r="J43" i="13" s="1"/>
  <c r="F43" i="13"/>
  <c r="F125" i="14"/>
  <c r="L125" i="14" s="1"/>
  <c r="K125" i="14"/>
  <c r="F101" i="14"/>
  <c r="L101" i="14" s="1"/>
  <c r="K101" i="14"/>
  <c r="F65" i="14"/>
  <c r="L65" i="14" s="1"/>
  <c r="K65" i="14"/>
  <c r="F100" i="14"/>
  <c r="L100" i="14" s="1"/>
  <c r="K100" i="14"/>
  <c r="F122" i="14"/>
  <c r="L122" i="14" s="1"/>
  <c r="K122" i="14"/>
  <c r="F99" i="14"/>
  <c r="L99" i="14" s="1"/>
  <c r="K99" i="14"/>
  <c r="F81" i="14"/>
  <c r="L81" i="14" s="1"/>
  <c r="K81" i="14"/>
  <c r="F133" i="14"/>
  <c r="L133" i="14" s="1"/>
  <c r="K133" i="14"/>
  <c r="F74" i="14"/>
  <c r="L74" i="14" s="1"/>
  <c r="K74" i="14"/>
  <c r="F91" i="14"/>
  <c r="L91" i="14" s="1"/>
  <c r="K91" i="14"/>
  <c r="F43" i="14"/>
  <c r="L43" i="14" s="1"/>
  <c r="K43" i="14"/>
  <c r="K119" i="14"/>
  <c r="F119" i="14"/>
  <c r="L119" i="14" s="1"/>
  <c r="F78" i="14"/>
  <c r="L78" i="14" s="1"/>
  <c r="K78" i="14"/>
  <c r="F45" i="14"/>
  <c r="L45" i="14" s="1"/>
  <c r="K45" i="14"/>
  <c r="F95" i="14"/>
  <c r="L95" i="14" s="1"/>
  <c r="K95" i="14"/>
  <c r="F77" i="14"/>
  <c r="L77" i="14" s="1"/>
  <c r="K77" i="14"/>
  <c r="F151" i="13"/>
  <c r="K151" i="13"/>
  <c r="F117" i="14"/>
  <c r="L117" i="14" s="1"/>
  <c r="K117" i="14"/>
  <c r="F94" i="14"/>
  <c r="L94" i="14" s="1"/>
  <c r="K94" i="14"/>
  <c r="K42" i="14"/>
  <c r="H42" i="14" s="1"/>
  <c r="F42" i="14"/>
  <c r="K115" i="14"/>
  <c r="F115" i="14"/>
  <c r="L115" i="14" s="1"/>
  <c r="F92" i="14"/>
  <c r="L92" i="14" s="1"/>
  <c r="K92" i="14"/>
  <c r="F126" i="14"/>
  <c r="L126" i="14" s="1"/>
  <c r="K126" i="14"/>
  <c r="F103" i="14"/>
  <c r="L103" i="14" s="1"/>
  <c r="K103" i="14"/>
  <c r="F85" i="14"/>
  <c r="L85" i="14" s="1"/>
  <c r="K85" i="14"/>
  <c r="F96" i="14"/>
  <c r="L96" i="14" s="1"/>
  <c r="K96" i="14"/>
  <c r="F45" i="13"/>
  <c r="L45" i="13" s="1"/>
  <c r="K45" i="13"/>
  <c r="K118" i="14"/>
  <c r="F118" i="14"/>
  <c r="L118" i="14" s="1"/>
  <c r="F76" i="14"/>
  <c r="L76" i="14" s="1"/>
  <c r="K76" i="14"/>
  <c r="K42" i="13"/>
  <c r="J42" i="13" s="1"/>
  <c r="F42" i="13"/>
  <c r="F116" i="14"/>
  <c r="L116" i="14" s="1"/>
  <c r="K116" i="14"/>
  <c r="F93" i="14"/>
  <c r="L93" i="14" s="1"/>
  <c r="K93" i="14"/>
  <c r="F75" i="14"/>
  <c r="L75" i="14" s="1"/>
  <c r="K75" i="14"/>
  <c r="F127" i="14"/>
  <c r="L127" i="14" s="1"/>
  <c r="K127" i="14"/>
  <c r="F67" i="14"/>
  <c r="L67" i="14" s="1"/>
  <c r="K67" i="14"/>
  <c r="F109" i="14"/>
  <c r="L109" i="14" s="1"/>
  <c r="K109" i="14"/>
  <c r="K130" i="14"/>
  <c r="F130" i="14"/>
  <c r="L130" i="14" s="1"/>
  <c r="F89" i="14"/>
  <c r="L89" i="14" s="1"/>
  <c r="K89" i="14"/>
  <c r="K71" i="14"/>
  <c r="F71" i="14"/>
  <c r="L71" i="14" s="1"/>
  <c r="F106" i="14"/>
  <c r="L106" i="14" s="1"/>
  <c r="K106" i="14"/>
  <c r="F70" i="14"/>
  <c r="L70" i="14" s="1"/>
  <c r="K70" i="14"/>
  <c r="F134" i="14"/>
  <c r="L134" i="14" s="1"/>
  <c r="K134" i="14"/>
  <c r="F104" i="14"/>
  <c r="L104" i="14" s="1"/>
  <c r="K104" i="14"/>
  <c r="F86" i="14"/>
  <c r="L86" i="14" s="1"/>
  <c r="K86" i="14"/>
  <c r="F68" i="14"/>
  <c r="L68" i="14" s="1"/>
  <c r="K68" i="14"/>
  <c r="F120" i="14"/>
  <c r="L120" i="14" s="1"/>
  <c r="K120" i="14"/>
  <c r="J44" i="14"/>
  <c r="K44" i="14"/>
  <c r="F44" i="14" s="1"/>
  <c r="K131" i="14"/>
  <c r="F131" i="14"/>
  <c r="L131" i="14" s="1"/>
  <c r="F90" i="14"/>
  <c r="L90" i="14" s="1"/>
  <c r="K90" i="14"/>
  <c r="F72" i="14"/>
  <c r="L72" i="14" s="1"/>
  <c r="K72" i="14"/>
  <c r="F107" i="14"/>
  <c r="L107" i="14" s="1"/>
  <c r="K107" i="14"/>
  <c r="K129" i="14"/>
  <c r="F129" i="14"/>
  <c r="L129" i="14" s="1"/>
  <c r="F88" i="14"/>
  <c r="L88" i="14" s="1"/>
  <c r="K88" i="14"/>
  <c r="F105" i="14"/>
  <c r="L105" i="14" s="1"/>
  <c r="K105" i="14"/>
  <c r="F69" i="14"/>
  <c r="L69" i="14" s="1"/>
  <c r="K69" i="14"/>
  <c r="F121" i="14"/>
  <c r="L121" i="14" s="1"/>
  <c r="K121" i="14"/>
  <c r="F98" i="14"/>
  <c r="L98" i="14" s="1"/>
  <c r="K98" i="14"/>
  <c r="F97" i="14"/>
  <c r="L97" i="14" s="1"/>
  <c r="K97" i="14"/>
  <c r="F79" i="14"/>
  <c r="L79" i="14" s="1"/>
  <c r="K79" i="14"/>
  <c r="J44" i="13"/>
  <c r="K44" i="13"/>
  <c r="F44" i="13" s="1"/>
  <c r="F102" i="14"/>
  <c r="L102" i="14" s="1"/>
  <c r="K102" i="14"/>
  <c r="F84" i="14"/>
  <c r="L84" i="14" s="1"/>
  <c r="K84" i="14"/>
  <c r="F66" i="14"/>
  <c r="L66" i="14" s="1"/>
  <c r="K66" i="14"/>
  <c r="F124" i="14"/>
  <c r="L124" i="14" s="1"/>
  <c r="K124" i="14"/>
  <c r="F83" i="14"/>
  <c r="L83" i="14" s="1"/>
  <c r="K83" i="14"/>
  <c r="F123" i="14"/>
  <c r="L123" i="14" s="1"/>
  <c r="K123" i="14"/>
  <c r="F82" i="14"/>
  <c r="L82" i="14" s="1"/>
  <c r="K82" i="14"/>
  <c r="F64" i="14"/>
  <c r="K64" i="14"/>
  <c r="K128" i="14"/>
  <c r="F128" i="14"/>
  <c r="L128" i="14" s="1"/>
  <c r="F87" i="14"/>
  <c r="L87" i="14" s="1"/>
  <c r="K87" i="14"/>
  <c r="F80" i="14"/>
  <c r="L80" i="14" s="1"/>
  <c r="K80" i="14"/>
  <c r="I13" i="14"/>
  <c r="I27" i="13"/>
  <c r="J27" i="13" s="1"/>
  <c r="I27" i="14"/>
  <c r="J27" i="14" s="1"/>
  <c r="I10" i="14"/>
  <c r="J10" i="14" s="1"/>
  <c r="G41" i="14"/>
  <c r="H41" i="14" s="1"/>
  <c r="G27" i="13"/>
  <c r="G27" i="14"/>
  <c r="G25" i="13"/>
  <c r="H25" i="13" s="1"/>
  <c r="G9" i="14"/>
  <c r="H9" i="14" s="1"/>
  <c r="I39" i="13"/>
  <c r="J39" i="13" s="1"/>
  <c r="G7" i="13"/>
  <c r="H7" i="13" s="1"/>
  <c r="I20" i="14"/>
  <c r="J20" i="14" s="1"/>
  <c r="I16" i="14"/>
  <c r="J16" i="14" s="1"/>
  <c r="I15" i="14"/>
  <c r="J15" i="14" s="1"/>
  <c r="G5" i="14"/>
  <c r="H5" i="14" s="1"/>
  <c r="G5" i="13"/>
  <c r="H5" i="13" s="1"/>
  <c r="I17" i="14"/>
  <c r="J17" i="14" s="1"/>
  <c r="G7" i="14"/>
  <c r="H7" i="14" s="1"/>
  <c r="G16" i="13"/>
  <c r="H16" i="13" s="1"/>
  <c r="G13" i="13"/>
  <c r="H13" i="13" s="1"/>
  <c r="I8" i="14"/>
  <c r="J8" i="14" s="1"/>
  <c r="E37" i="13"/>
  <c r="I17" i="13"/>
  <c r="J17" i="13" s="1"/>
  <c r="I15" i="13"/>
  <c r="J15" i="13" s="1"/>
  <c r="E22" i="14"/>
  <c r="I8" i="13"/>
  <c r="J8" i="13" s="1"/>
  <c r="G14" i="13"/>
  <c r="H14" i="13" s="1"/>
  <c r="I6" i="14"/>
  <c r="J6" i="14" s="1"/>
  <c r="G13" i="14"/>
  <c r="H13" i="14" s="1"/>
  <c r="I6" i="13"/>
  <c r="J6" i="13" s="1"/>
  <c r="I16" i="13"/>
  <c r="J16" i="13" s="1"/>
  <c r="G16" i="14"/>
  <c r="H16" i="14" s="1"/>
  <c r="G15" i="14"/>
  <c r="H15" i="14" s="1"/>
  <c r="E41" i="14"/>
  <c r="I20" i="13"/>
  <c r="J20" i="13" s="1"/>
  <c r="I21" i="13"/>
  <c r="J21" i="13" s="1"/>
  <c r="I13" i="13"/>
  <c r="I11" i="13"/>
  <c r="J11" i="13" s="1"/>
  <c r="I11" i="14"/>
  <c r="J11" i="14" s="1"/>
  <c r="E35" i="14"/>
  <c r="F35" i="14" s="1"/>
  <c r="I40" i="13"/>
  <c r="E9" i="14"/>
  <c r="F9" i="14" s="1"/>
  <c r="I9" i="14"/>
  <c r="J9" i="14" s="1"/>
  <c r="E26" i="13"/>
  <c r="I9" i="13"/>
  <c r="J9" i="13" s="1"/>
  <c r="E26" i="14"/>
  <c r="F26" i="14" s="1"/>
  <c r="E9" i="13"/>
  <c r="F9" i="13" s="1"/>
  <c r="D10" i="13" s="1"/>
  <c r="G35" i="14"/>
  <c r="H35" i="14" s="1"/>
  <c r="G28" i="13"/>
  <c r="H28" i="13" s="1"/>
  <c r="E10" i="14"/>
  <c r="F10" i="14" s="1"/>
  <c r="G10" i="13"/>
  <c r="H10" i="13" s="1"/>
  <c r="G9" i="13"/>
  <c r="H9" i="13" s="1"/>
  <c r="G10" i="14"/>
  <c r="H10" i="14" s="1"/>
  <c r="G11" i="13"/>
  <c r="H11" i="13" s="1"/>
  <c r="G11" i="14"/>
  <c r="H11" i="14" s="1"/>
  <c r="G12" i="13"/>
  <c r="H12" i="13" s="1"/>
  <c r="G12" i="14"/>
  <c r="H12" i="14" s="1"/>
  <c r="E25" i="13"/>
  <c r="E25" i="14"/>
  <c r="I35" i="13"/>
  <c r="J35" i="13" s="1"/>
  <c r="I35" i="14"/>
  <c r="J35" i="14" s="1"/>
  <c r="I29" i="14"/>
  <c r="J29" i="14" s="1"/>
  <c r="I29" i="13"/>
  <c r="J29" i="13" s="1"/>
  <c r="F31" i="13"/>
  <c r="I30" i="13"/>
  <c r="J30" i="13" s="1"/>
  <c r="I30" i="14"/>
  <c r="J30" i="14" s="1"/>
  <c r="G30" i="13"/>
  <c r="G30" i="14"/>
  <c r="H30" i="14" s="1"/>
  <c r="G18" i="14"/>
  <c r="H18" i="14" s="1"/>
  <c r="G17" i="14"/>
  <c r="H17" i="14" s="1"/>
  <c r="G18" i="13"/>
  <c r="H18" i="13" s="1"/>
  <c r="G17" i="13"/>
  <c r="H17" i="13" s="1"/>
  <c r="F33" i="13"/>
  <c r="G20" i="13"/>
  <c r="H20" i="13" s="1"/>
  <c r="G20" i="14"/>
  <c r="H20" i="14" s="1"/>
  <c r="E28" i="13"/>
  <c r="E28" i="14"/>
  <c r="G29" i="13"/>
  <c r="H29" i="13" s="1"/>
  <c r="G29" i="14"/>
  <c r="H29" i="14" s="1"/>
  <c r="I38" i="14"/>
  <c r="J38" i="14" s="1"/>
  <c r="I38" i="13"/>
  <c r="J38" i="13" s="1"/>
  <c r="F31" i="14"/>
  <c r="I19" i="14"/>
  <c r="J19" i="14" s="1"/>
  <c r="I19" i="13"/>
  <c r="J19" i="13" s="1"/>
  <c r="I18" i="13"/>
  <c r="J18" i="13" s="1"/>
  <c r="I18" i="14"/>
  <c r="J18" i="14" s="1"/>
  <c r="G19" i="14"/>
  <c r="H19" i="14" s="1"/>
  <c r="G19" i="13"/>
  <c r="H19" i="13" s="1"/>
  <c r="I23" i="13"/>
  <c r="J23" i="13" s="1"/>
  <c r="I23" i="14"/>
  <c r="J23" i="14" s="1"/>
  <c r="G39" i="14"/>
  <c r="H39" i="14" s="1"/>
  <c r="G39" i="13"/>
  <c r="H39" i="13" s="1"/>
  <c r="G40" i="13"/>
  <c r="H40" i="13" s="1"/>
  <c r="G40" i="14"/>
  <c r="H40" i="14" s="1"/>
  <c r="G24" i="14"/>
  <c r="H24" i="14" s="1"/>
  <c r="G24" i="13"/>
  <c r="I22" i="13"/>
  <c r="I22" i="14"/>
  <c r="F10" i="13"/>
  <c r="E23" i="14"/>
  <c r="E23" i="13"/>
  <c r="G31" i="14"/>
  <c r="H31" i="14" s="1"/>
  <c r="G31" i="13"/>
  <c r="H31" i="13" s="1"/>
  <c r="E32" i="13"/>
  <c r="K32" i="13" s="1"/>
  <c r="F32" i="13" s="1"/>
  <c r="L32" i="13" s="1"/>
  <c r="E32" i="14"/>
  <c r="K32" i="14" s="1"/>
  <c r="F32" i="14" s="1"/>
  <c r="L32" i="14" s="1"/>
  <c r="E18" i="14"/>
  <c r="E17" i="14"/>
  <c r="E18" i="13"/>
  <c r="E17" i="13"/>
  <c r="E36" i="14"/>
  <c r="E36" i="13"/>
  <c r="E34" i="14"/>
  <c r="E34" i="13"/>
  <c r="I25" i="14"/>
  <c r="I25" i="13"/>
  <c r="G38" i="13"/>
  <c r="H38" i="13" s="1"/>
  <c r="G38" i="14"/>
  <c r="H38" i="14" s="1"/>
  <c r="E20" i="14"/>
  <c r="E20" i="13"/>
  <c r="G6" i="14"/>
  <c r="H6" i="14" s="1"/>
  <c r="G6" i="13"/>
  <c r="H6" i="13" s="1"/>
  <c r="G8" i="14"/>
  <c r="H8" i="14" s="1"/>
  <c r="G8" i="13"/>
  <c r="H8" i="13" s="1"/>
  <c r="G22" i="13"/>
  <c r="H22" i="13" s="1"/>
  <c r="G22" i="14"/>
  <c r="H22" i="14" s="1"/>
  <c r="I28" i="14"/>
  <c r="I28" i="13"/>
  <c r="E40" i="14"/>
  <c r="E40" i="13"/>
  <c r="G33" i="13"/>
  <c r="H33" i="13" s="1"/>
  <c r="G33" i="14"/>
  <c r="K33" i="14" s="1"/>
  <c r="G26" i="13"/>
  <c r="H26" i="13" s="1"/>
  <c r="G26" i="14"/>
  <c r="H26" i="14" s="1"/>
  <c r="I14" i="13"/>
  <c r="J14" i="13" s="1"/>
  <c r="I12" i="14"/>
  <c r="J12" i="14" s="1"/>
  <c r="I12" i="13"/>
  <c r="J12" i="13" s="1"/>
  <c r="I14" i="14"/>
  <c r="J14" i="14" s="1"/>
  <c r="I24" i="14"/>
  <c r="J24" i="14" s="1"/>
  <c r="I24" i="13"/>
  <c r="J24" i="13" s="1"/>
  <c r="F35" i="13"/>
  <c r="I41" i="13"/>
  <c r="J41" i="13" s="1"/>
  <c r="I41" i="14"/>
  <c r="J41" i="14" s="1"/>
  <c r="G23" i="14"/>
  <c r="H23" i="14" s="1"/>
  <c r="G23" i="13"/>
  <c r="H23" i="13" s="1"/>
  <c r="I7" i="14"/>
  <c r="J7" i="14" s="1"/>
  <c r="I5" i="14"/>
  <c r="J5" i="14" s="1"/>
  <c r="I7" i="13"/>
  <c r="I5" i="13"/>
  <c r="J5" i="13" s="1"/>
  <c r="G21" i="13"/>
  <c r="H21" i="13" s="1"/>
  <c r="G21" i="14"/>
  <c r="H21" i="14" s="1"/>
  <c r="F33" i="14"/>
  <c r="H141" i="8"/>
  <c r="J141" i="8"/>
  <c r="F141" i="8"/>
  <c r="F167" i="8"/>
  <c r="L167" i="8"/>
  <c r="L141" i="8"/>
  <c r="E38" i="14" l="1"/>
  <c r="K38" i="14" s="1"/>
  <c r="F38" i="14" s="1"/>
  <c r="L38" i="14" s="1"/>
  <c r="L42" i="14"/>
  <c r="L43" i="13"/>
  <c r="L44" i="13"/>
  <c r="L64" i="14"/>
  <c r="L140" i="14" s="1"/>
  <c r="F140" i="14"/>
  <c r="L166" i="14"/>
  <c r="F166" i="14"/>
  <c r="L140" i="13"/>
  <c r="F140" i="13"/>
  <c r="L44" i="14"/>
  <c r="L42" i="13"/>
  <c r="L151" i="13"/>
  <c r="L166" i="13" s="1"/>
  <c r="F166" i="13"/>
  <c r="G41" i="13"/>
  <c r="H41" i="13" s="1"/>
  <c r="L33" i="13"/>
  <c r="H33" i="14"/>
  <c r="L33" i="14" s="1"/>
  <c r="K35" i="13"/>
  <c r="E5" i="14"/>
  <c r="K5" i="14" s="1"/>
  <c r="L35" i="13"/>
  <c r="K10" i="14"/>
  <c r="E19" i="13"/>
  <c r="K19" i="13" s="1"/>
  <c r="E19" i="14"/>
  <c r="F19" i="14" s="1"/>
  <c r="L19" i="14" s="1"/>
  <c r="E22" i="13"/>
  <c r="F22" i="13" s="1"/>
  <c r="L10" i="14"/>
  <c r="E39" i="14"/>
  <c r="E5" i="13"/>
  <c r="K5" i="13" s="1"/>
  <c r="F5" i="13" s="1"/>
  <c r="E6" i="13"/>
  <c r="K6" i="13" s="1"/>
  <c r="E6" i="14"/>
  <c r="F6" i="14" s="1"/>
  <c r="L6" i="14" s="1"/>
  <c r="K9" i="14"/>
  <c r="E37" i="14"/>
  <c r="K37" i="14" s="1"/>
  <c r="J37" i="14" s="1"/>
  <c r="L35" i="14"/>
  <c r="K35" i="14"/>
  <c r="E41" i="13"/>
  <c r="K17" i="14"/>
  <c r="F17" i="14" s="1"/>
  <c r="L17" i="14" s="1"/>
  <c r="K10" i="13"/>
  <c r="K17" i="13"/>
  <c r="F17" i="13" s="1"/>
  <c r="L17" i="13" s="1"/>
  <c r="L10" i="13"/>
  <c r="K9" i="13"/>
  <c r="E13" i="14"/>
  <c r="E14" i="14"/>
  <c r="E13" i="13"/>
  <c r="E14" i="13"/>
  <c r="E27" i="14"/>
  <c r="E27" i="13"/>
  <c r="D10" i="14"/>
  <c r="L9" i="14"/>
  <c r="F36" i="14"/>
  <c r="L36" i="14" s="1"/>
  <c r="K36" i="14"/>
  <c r="K28" i="14"/>
  <c r="J28" i="14" s="1"/>
  <c r="F28" i="14"/>
  <c r="K18" i="14"/>
  <c r="F18" i="14"/>
  <c r="L18" i="14" s="1"/>
  <c r="F28" i="13"/>
  <c r="K28" i="13"/>
  <c r="J28" i="13" s="1"/>
  <c r="K33" i="13"/>
  <c r="E30" i="14"/>
  <c r="E30" i="13"/>
  <c r="K40" i="13"/>
  <c r="J40" i="13" s="1"/>
  <c r="F40" i="13"/>
  <c r="K34" i="13"/>
  <c r="J34" i="13" s="1"/>
  <c r="F34" i="13"/>
  <c r="K23" i="13"/>
  <c r="F23" i="13"/>
  <c r="L23" i="13" s="1"/>
  <c r="K31" i="14"/>
  <c r="J31" i="14" s="1"/>
  <c r="L31" i="14" s="1"/>
  <c r="K31" i="13"/>
  <c r="J31" i="13" s="1"/>
  <c r="L31" i="13" s="1"/>
  <c r="F25" i="14"/>
  <c r="K25" i="14"/>
  <c r="J25" i="14" s="1"/>
  <c r="E21" i="13"/>
  <c r="E21" i="14"/>
  <c r="F37" i="13"/>
  <c r="K37" i="13"/>
  <c r="J37" i="13" s="1"/>
  <c r="L26" i="14"/>
  <c r="F40" i="14"/>
  <c r="K40" i="14"/>
  <c r="J40" i="14" s="1"/>
  <c r="K26" i="13"/>
  <c r="F26" i="13" s="1"/>
  <c r="L26" i="13" s="1"/>
  <c r="F34" i="14"/>
  <c r="K34" i="14"/>
  <c r="J34" i="14" s="1"/>
  <c r="F23" i="14"/>
  <c r="L23" i="14" s="1"/>
  <c r="K23" i="14"/>
  <c r="K22" i="14"/>
  <c r="J22" i="14" s="1"/>
  <c r="F22" i="14"/>
  <c r="F25" i="13"/>
  <c r="K25" i="13"/>
  <c r="J25" i="13" s="1"/>
  <c r="E11" i="13"/>
  <c r="E11" i="14"/>
  <c r="E12" i="14"/>
  <c r="E12" i="13"/>
  <c r="K26" i="14"/>
  <c r="F20" i="13"/>
  <c r="L20" i="13" s="1"/>
  <c r="K20" i="13"/>
  <c r="L9" i="13"/>
  <c r="E29" i="13"/>
  <c r="E29" i="14"/>
  <c r="K20" i="14"/>
  <c r="F20" i="14"/>
  <c r="L20" i="14" s="1"/>
  <c r="F36" i="13"/>
  <c r="L36" i="13" s="1"/>
  <c r="K36" i="13"/>
  <c r="K18" i="13"/>
  <c r="F18" i="13"/>
  <c r="L18" i="13" s="1"/>
  <c r="F41" i="14"/>
  <c r="L41" i="14" s="1"/>
  <c r="K41" i="14"/>
  <c r="K41" i="13" l="1"/>
  <c r="F41" i="13" s="1"/>
  <c r="L41" i="13" s="1"/>
  <c r="F5" i="14"/>
  <c r="L5" i="14" s="1"/>
  <c r="K6" i="14"/>
  <c r="K22" i="13"/>
  <c r="J22" i="13" s="1"/>
  <c r="F19" i="13"/>
  <c r="L19" i="13" s="1"/>
  <c r="E39" i="13"/>
  <c r="F39" i="13" s="1"/>
  <c r="L39" i="13" s="1"/>
  <c r="K19" i="14"/>
  <c r="J63" i="8"/>
  <c r="E11" i="10" s="1"/>
  <c r="F37" i="14"/>
  <c r="L37" i="14" s="1"/>
  <c r="F6" i="13"/>
  <c r="L6" i="13" s="1"/>
  <c r="E38" i="13"/>
  <c r="K38" i="13" s="1"/>
  <c r="F38" i="13" s="1"/>
  <c r="L38" i="13" s="1"/>
  <c r="L22" i="14"/>
  <c r="L40" i="14"/>
  <c r="L25" i="14"/>
  <c r="E8" i="13"/>
  <c r="E7" i="14"/>
  <c r="E8" i="14"/>
  <c r="E7" i="13"/>
  <c r="L34" i="13"/>
  <c r="L25" i="13"/>
  <c r="K21" i="14"/>
  <c r="F21" i="14"/>
  <c r="L21" i="14" s="1"/>
  <c r="F39" i="14"/>
  <c r="K39" i="14"/>
  <c r="F27" i="13"/>
  <c r="K27" i="13"/>
  <c r="H27" i="13" s="1"/>
  <c r="F13" i="13"/>
  <c r="K13" i="13"/>
  <c r="J13" i="13" s="1"/>
  <c r="F29" i="14"/>
  <c r="L29" i="14" s="1"/>
  <c r="K29" i="14"/>
  <c r="F12" i="13"/>
  <c r="L12" i="13" s="1"/>
  <c r="K12" i="13"/>
  <c r="F21" i="13"/>
  <c r="L21" i="13" s="1"/>
  <c r="K21" i="13"/>
  <c r="L22" i="13"/>
  <c r="L28" i="13"/>
  <c r="K27" i="14"/>
  <c r="H27" i="14" s="1"/>
  <c r="H62" i="14" s="1"/>
  <c r="E46" i="14" s="1"/>
  <c r="F46" i="14" s="1"/>
  <c r="L46" i="14" s="1"/>
  <c r="F27" i="14"/>
  <c r="K14" i="14"/>
  <c r="F14" i="14"/>
  <c r="L14" i="14" s="1"/>
  <c r="K29" i="13"/>
  <c r="F29" i="13"/>
  <c r="L29" i="13" s="1"/>
  <c r="F12" i="14"/>
  <c r="L12" i="14" s="1"/>
  <c r="K12" i="14"/>
  <c r="F13" i="14"/>
  <c r="K13" i="14"/>
  <c r="J13" i="14" s="1"/>
  <c r="E16" i="13"/>
  <c r="E15" i="13"/>
  <c r="E15" i="14"/>
  <c r="E16" i="14"/>
  <c r="L5" i="13"/>
  <c r="H63" i="8"/>
  <c r="F11" i="14"/>
  <c r="L11" i="14" s="1"/>
  <c r="K11" i="14"/>
  <c r="L34" i="14"/>
  <c r="L37" i="13"/>
  <c r="L40" i="13"/>
  <c r="F30" i="13"/>
  <c r="K30" i="13"/>
  <c r="L28" i="14"/>
  <c r="K11" i="13"/>
  <c r="F11" i="13"/>
  <c r="L11" i="13" s="1"/>
  <c r="F30" i="14"/>
  <c r="L30" i="14" s="1"/>
  <c r="K30" i="14"/>
  <c r="K14" i="13"/>
  <c r="F14" i="13"/>
  <c r="L14" i="13" s="1"/>
  <c r="K39" i="13" l="1"/>
  <c r="J29" i="9"/>
  <c r="K7" i="13"/>
  <c r="J7" i="13" s="1"/>
  <c r="J62" i="13" s="1"/>
  <c r="F7" i="13"/>
  <c r="F8" i="14"/>
  <c r="L8" i="14" s="1"/>
  <c r="K8" i="14"/>
  <c r="F7" i="14"/>
  <c r="L7" i="14" s="1"/>
  <c r="K7" i="14"/>
  <c r="D8" i="14" s="1"/>
  <c r="K8" i="13"/>
  <c r="F8" i="13"/>
  <c r="L8" i="13" s="1"/>
  <c r="L13" i="13"/>
  <c r="L27" i="14"/>
  <c r="K16" i="14"/>
  <c r="F16" i="14"/>
  <c r="L16" i="14" s="1"/>
  <c r="F15" i="14"/>
  <c r="K15" i="14"/>
  <c r="L27" i="13"/>
  <c r="F15" i="13"/>
  <c r="K15" i="13"/>
  <c r="D16" i="13" s="1"/>
  <c r="K16" i="13"/>
  <c r="F16" i="13"/>
  <c r="L16" i="13" s="1"/>
  <c r="J39" i="14"/>
  <c r="L39" i="14" s="1"/>
  <c r="H30" i="13"/>
  <c r="L30" i="13" s="1"/>
  <c r="L13" i="14"/>
  <c r="J62" i="14"/>
  <c r="L7" i="13" l="1"/>
  <c r="E24" i="13"/>
  <c r="E24" i="14"/>
  <c r="D16" i="14"/>
  <c r="L15" i="14"/>
  <c r="L15" i="13"/>
  <c r="H29" i="9"/>
  <c r="E8" i="10"/>
  <c r="F24" i="14" l="1"/>
  <c r="K24" i="14"/>
  <c r="E16" i="10"/>
  <c r="E9" i="10"/>
  <c r="E10" i="10" s="1"/>
  <c r="E14" i="10"/>
  <c r="E18" i="10" s="1"/>
  <c r="E15" i="10"/>
  <c r="F24" i="13"/>
  <c r="K24" i="13"/>
  <c r="E12" i="10" l="1"/>
  <c r="E21" i="10"/>
  <c r="E13" i="10"/>
  <c r="E20" i="10"/>
  <c r="L24" i="14"/>
  <c r="L62" i="14" s="1"/>
  <c r="F62" i="14"/>
  <c r="H24" i="13"/>
  <c r="H62" i="13" s="1"/>
  <c r="E46" i="13" s="1"/>
  <c r="F46" i="13" s="1"/>
  <c r="L46" i="13" s="1"/>
  <c r="L63" i="8"/>
  <c r="F63" i="8"/>
  <c r="L24" i="13" l="1"/>
  <c r="F62" i="13"/>
  <c r="L62" i="13"/>
  <c r="E4" i="10" l="1"/>
  <c r="E7" i="10" s="1"/>
  <c r="L29" i="9"/>
  <c r="F29" i="9"/>
  <c r="E17" i="10" l="1"/>
  <c r="E19" i="10"/>
  <c r="E22" i="10" l="1"/>
  <c r="E23" i="10" l="1"/>
  <c r="E24" i="10" s="1"/>
  <c r="E26" i="10" l="1"/>
  <c r="E27" i="10"/>
  <c r="E28" i="10" l="1"/>
  <c r="E29" i="10" s="1"/>
  <c r="E30" i="10" s="1"/>
  <c r="E31" i="10" s="1"/>
</calcChain>
</file>

<file path=xl/sharedStrings.xml><?xml version="1.0" encoding="utf-8"?>
<sst xmlns="http://schemas.openxmlformats.org/spreadsheetml/2006/main" count="13844" uniqueCount="1903">
  <si>
    <t>공 종 별 집 계 표</t>
  </si>
  <si>
    <t>[ 사옥 청정소화약제 소화설비 설계용역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</si>
  <si>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</si>
  <si>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</si>
  <si>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</si>
  <si>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</si>
  <si>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</si>
  <si>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</si>
  <si>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</si>
  <si>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</si>
  <si>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</si>
  <si>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</si>
  <si>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</si>
  <si>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</si>
  <si>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</si>
  <si>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</si>
  <si>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</si>
  <si>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</si>
  <si>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</si>
  <si>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</si>
  <si>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</si>
  <si>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</si>
  <si>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</si>
  <si>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</si>
  <si>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</si>
  <si>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</si>
  <si>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</si>
  <si>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</si>
  <si>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</si>
  <si>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</si>
  <si>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</si>
  <si>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</si>
  <si>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</si>
  <si>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</si>
  <si>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</si>
  <si>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</si>
  <si>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</si>
  <si>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</si>
  <si>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</si>
  <si>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</si>
  <si>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</si>
  <si>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</si>
  <si>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</si>
  <si>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</si>
  <si>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</si>
  <si>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</si>
  <si>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</si>
  <si>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</si>
  <si>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</si>
  <si>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</si>
  <si>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</si>
  <si>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</si>
  <si>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</si>
  <si>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0101  소방전기설비공사</t>
  </si>
  <si>
    <t>0101</t>
  </si>
  <si>
    <t>450/75OV 저독성난연가교폴리올레핀절연전선(HFIX)</t>
  </si>
  <si>
    <t>1.38㎜</t>
  </si>
  <si>
    <t>m</t>
  </si>
  <si>
    <t>호표 15</t>
  </si>
  <si>
    <t>505B01641A59413E6CB4C82253D1D6</t>
  </si>
  <si>
    <t>T</t>
  </si>
  <si>
    <t>F</t>
  </si>
  <si>
    <t>0101505B01641A59413E6CB4C82253D1D6</t>
  </si>
  <si>
    <t>1.78㎜</t>
  </si>
  <si>
    <t>호표 16</t>
  </si>
  <si>
    <t>505B01641A59413E6CB4C82253D2FF</t>
  </si>
  <si>
    <t>0101505B01641A59413E6CB4C82253D2FF</t>
  </si>
  <si>
    <t>0.6/1kV 내화 케이블 (F-FR-8)</t>
  </si>
  <si>
    <t>3C 2.5㎟</t>
  </si>
  <si>
    <t>호표 17</t>
  </si>
  <si>
    <t>505B01641A484BD16D60AB21A7ADF0</t>
  </si>
  <si>
    <t>0101505B01641A484BD16D60AB21A7ADF0</t>
  </si>
  <si>
    <t>강제 전선관</t>
  </si>
  <si>
    <t>아연도  16 mm</t>
  </si>
  <si>
    <t>M</t>
  </si>
  <si>
    <t>호표 8</t>
  </si>
  <si>
    <t>505B01641A6B48CC6AE99620450FAC</t>
  </si>
  <si>
    <t>0101505B01641A6B48CC6AE99620450FAC</t>
  </si>
  <si>
    <t>아연도  22 mm</t>
  </si>
  <si>
    <t>호표 9</t>
  </si>
  <si>
    <t>505B01641A6B48CC6AE99620450CD7</t>
  </si>
  <si>
    <t>0101505B01641A6B48CC6AE99620450CD7</t>
  </si>
  <si>
    <t>아연도  28 mm</t>
  </si>
  <si>
    <t>호표 10</t>
  </si>
  <si>
    <t>505B01641A6B48CC6AE99620450DFE</t>
  </si>
  <si>
    <t>0101505B01641A6B48CC6AE99620450DFE</t>
  </si>
  <si>
    <t>1종금속제가요전선관</t>
  </si>
  <si>
    <t>16 mm 비방수</t>
  </si>
  <si>
    <t>호표 11</t>
  </si>
  <si>
    <t>505B01641A6B48CD6B5886243C171B</t>
  </si>
  <si>
    <t>0101505B01641A6B48CD6B5886243C171B</t>
  </si>
  <si>
    <t>전선관지지대</t>
  </si>
  <si>
    <t>16 C</t>
  </si>
  <si>
    <t>개소</t>
  </si>
  <si>
    <t>호표 12</t>
  </si>
  <si>
    <t>505B01641A6B48C06FD8E029F22B81</t>
  </si>
  <si>
    <t>0101505B01641A6B48C06FD8E029F22B81</t>
  </si>
  <si>
    <t>22 C</t>
  </si>
  <si>
    <t>호표 13</t>
  </si>
  <si>
    <t>505B01641A6B48C06FD8E029F228CD</t>
  </si>
  <si>
    <t>0101505B01641A6B48C06FD8E029F228CD</t>
  </si>
  <si>
    <t>28 C</t>
  </si>
  <si>
    <t>호표 14</t>
  </si>
  <si>
    <t>505B01641A6B48C06FD8E029F229D4</t>
  </si>
  <si>
    <t>0101505B01641A6B48C06FD8E029F229D4</t>
  </si>
  <si>
    <t>잡철물설치(철제)</t>
  </si>
  <si>
    <t>간단</t>
  </si>
  <si>
    <t>kg</t>
  </si>
  <si>
    <t>호표 5</t>
  </si>
  <si>
    <t>5011016F24EC46326CCAB425E4BD33</t>
  </si>
  <si>
    <t>01015011016F24EC46326CCAB425E4BD33</t>
  </si>
  <si>
    <t>텍스 철거후 재설치</t>
  </si>
  <si>
    <t>㎡</t>
  </si>
  <si>
    <t>호표 6</t>
  </si>
  <si>
    <t>5010B167C66E4E4D6D7CDD288F9415</t>
  </si>
  <si>
    <t>01015010B167C66E4E4D6D7CDD288F9415</t>
  </si>
  <si>
    <t>배관용 구멍뚫기(코어드릴)-Con,c</t>
  </si>
  <si>
    <t>두께 30cm 이하 ∮25mm, 벽</t>
  </si>
  <si>
    <t>호표 7</t>
  </si>
  <si>
    <t>505B016322B745D26B9118298EB0BB</t>
  </si>
  <si>
    <t>0101505B016322B745D26B9118298EB0BB</t>
  </si>
  <si>
    <t>가스수신반</t>
  </si>
  <si>
    <t>대</t>
  </si>
  <si>
    <t>호표 30</t>
  </si>
  <si>
    <t>505B016424A64E5269CAC822D55C9C</t>
  </si>
  <si>
    <t>0101505B016424A64E5269CAC822D55C9C</t>
  </si>
  <si>
    <t>전원반</t>
  </si>
  <si>
    <t>자동폐쇄장치전원반, 15A</t>
  </si>
  <si>
    <t>호표 32</t>
  </si>
  <si>
    <t>505B016424A64E5269CAC822D44BBF</t>
  </si>
  <si>
    <t>0101505B016424A64E5269CAC822D44BBF</t>
  </si>
  <si>
    <t>경종 설치</t>
  </si>
  <si>
    <t>개</t>
  </si>
  <si>
    <t>호표 18</t>
  </si>
  <si>
    <t>505B01641AE84E05648CA52A944A2D</t>
  </si>
  <si>
    <t>0101505B01641AE84E05648CA52A944A2D</t>
  </si>
  <si>
    <t>화재감지기</t>
  </si>
  <si>
    <t>열감지기,차동식스포트형</t>
  </si>
  <si>
    <t>호표 19</t>
  </si>
  <si>
    <t>505B016424A64E5269CA9C2E10B513</t>
  </si>
  <si>
    <t>0101505B016424A64E5269CA9C2E10B513</t>
  </si>
  <si>
    <t>연기감지기,광전식2종-비축적</t>
  </si>
  <si>
    <t>호표 22</t>
  </si>
  <si>
    <t>505B016424A64E5269CA9C2E10B095</t>
  </si>
  <si>
    <t>0101505B016424A64E5269CA9C2E10B095</t>
  </si>
  <si>
    <t>전자사이렌 설치</t>
  </si>
  <si>
    <t>DC 24V</t>
  </si>
  <si>
    <t>호표 25</t>
  </si>
  <si>
    <t>505B016424A64E5269CAAD250205F0</t>
  </si>
  <si>
    <t>0101505B016424A64E5269CAAD250205F0</t>
  </si>
  <si>
    <t>자동폐쇄장치-창문형</t>
  </si>
  <si>
    <t>DC-24V</t>
  </si>
  <si>
    <t>호표 26</t>
  </si>
  <si>
    <t>505B016424A64E5269CABF2B04DBB6</t>
  </si>
  <si>
    <t>0101505B016424A64E5269CABF2B04DBB6</t>
  </si>
  <si>
    <t>자동폐쇄장치-방화문</t>
  </si>
  <si>
    <t>호표 27</t>
  </si>
  <si>
    <t>505B016424A64E5269CABF2B04DA98</t>
  </si>
  <si>
    <t>0101505B016424A64E5269CABF2B04DA98</t>
  </si>
  <si>
    <t>경비실 부수신기 재결선</t>
  </si>
  <si>
    <t>지하층 2구역 철거 및 지하수신기 1구역 연동</t>
  </si>
  <si>
    <t>호표 28</t>
  </si>
  <si>
    <t>505B016424A64E5269CAC822D7000C</t>
  </si>
  <si>
    <t>0101505B016424A64E5269CAC822D7000C</t>
  </si>
  <si>
    <t>통제실 메인수신기 재결선</t>
  </si>
  <si>
    <t>호표 29</t>
  </si>
  <si>
    <t>505B016424A64E5269CAC822D7000F</t>
  </si>
  <si>
    <t>0101505B016424A64E5269CAC822D7000F</t>
  </si>
  <si>
    <t>걸이시설설치</t>
  </si>
  <si>
    <t>생명줄포함</t>
  </si>
  <si>
    <t>호표 31</t>
  </si>
  <si>
    <t>505B016424A64E5269CAC822D44C45</t>
  </si>
  <si>
    <t>0101505B016424A64E5269CAC822D44C45</t>
  </si>
  <si>
    <t>화재감지기 - 철거</t>
  </si>
  <si>
    <t>호표 23</t>
  </si>
  <si>
    <t>505B016424A64E5269CA9C2E10B25F</t>
  </si>
  <si>
    <t>0101505B016424A64E5269CA9C2E10B25F</t>
  </si>
  <si>
    <t>전자싸이렌 - 철거</t>
  </si>
  <si>
    <t>호표 24</t>
  </si>
  <si>
    <t>505B016424A64E5269CA9C2E10BC4B</t>
  </si>
  <si>
    <t>0101505B016424A64E5269CA9C2E10BC4B</t>
  </si>
  <si>
    <t>아우트렛박스</t>
  </si>
  <si>
    <t>중형4각 54㎜</t>
  </si>
  <si>
    <t>호표 33</t>
  </si>
  <si>
    <t>505B016424794B996FF06424F6D40C</t>
  </si>
  <si>
    <t>0101505B016424794B996FF06424F6D40C</t>
  </si>
  <si>
    <t>덕트관통부채움</t>
  </si>
  <si>
    <t>EA</t>
  </si>
  <si>
    <t>호표 20</t>
  </si>
  <si>
    <t>505B016424A64E5269CA9C2E10B510</t>
  </si>
  <si>
    <t>0101505B016424A64E5269CA9C2E10B510</t>
  </si>
  <si>
    <t>배관관통부채움</t>
  </si>
  <si>
    <t>호표 21</t>
  </si>
  <si>
    <t>505B016424A64E5269CA9C2E10B517</t>
  </si>
  <si>
    <t>0101505B016424A64E5269CA9C2E10B517</t>
  </si>
  <si>
    <t>강관 조립말비계(이동식)설치 및 해체</t>
  </si>
  <si>
    <t>높이 4m, 3개월</t>
  </si>
  <si>
    <t>호표 4</t>
  </si>
  <si>
    <t>5011B16E8E4F41386BB4A82D93F3F7</t>
  </si>
  <si>
    <t>01015011B16E8E4F41386BB4A82D93F3F7</t>
  </si>
  <si>
    <t>방화실리콘 실란트</t>
  </si>
  <si>
    <t>300ml</t>
  </si>
  <si>
    <t>자재 21</t>
  </si>
  <si>
    <t>5732A16FD39B4CFA63CA662B17FC2C1E7F660A</t>
  </si>
  <si>
    <t>01015732A16FD39B4CFA63CA662B17FC2C1E7F660A</t>
  </si>
  <si>
    <t>PVC 파이프 캡</t>
  </si>
  <si>
    <t>자재 24</t>
  </si>
  <si>
    <t>5732216A746F4D936A27A42493CA481FC1D8E1</t>
  </si>
  <si>
    <t>01015732216A746F4D936A27A42493CA481FC1D8E1</t>
  </si>
  <si>
    <t>화물트럭 운반비</t>
  </si>
  <si>
    <t>1TON 기준</t>
  </si>
  <si>
    <t>일</t>
  </si>
  <si>
    <t>자재 36</t>
  </si>
  <si>
    <t>5743416A3BB7490C6653CC265A7FA04F60A5B4</t>
  </si>
  <si>
    <t>01015743416A3BB7490C6653CC265A7FA04F60A5B4</t>
  </si>
  <si>
    <t>방화포</t>
  </si>
  <si>
    <t>ROLL</t>
  </si>
  <si>
    <t>자재 41</t>
  </si>
  <si>
    <t>5743416A3B4C482B60E2AF2047342E7407CDA9</t>
  </si>
  <si>
    <t>01015743416A3B4C482B60E2AF2047342E7407CDA9</t>
  </si>
  <si>
    <t>[ 합           계 ]</t>
  </si>
  <si>
    <t>TOTAL</t>
  </si>
  <si>
    <t>0102  할로겐소화약제설비공사</t>
  </si>
  <si>
    <t>0102</t>
  </si>
  <si>
    <t>AnyFire(FK-5-1-12) 모듈러</t>
  </si>
  <si>
    <t>82.5L/90KG/2BT</t>
  </si>
  <si>
    <t>SET</t>
  </si>
  <si>
    <t>자재 45</t>
  </si>
  <si>
    <t>51859163152E473D6A10602155A92333E6E763</t>
  </si>
  <si>
    <t>010251859163152E473D6A10602155A92333E6E763</t>
  </si>
  <si>
    <t>82.5L/80KG/2BT</t>
  </si>
  <si>
    <t>자재 46</t>
  </si>
  <si>
    <t>51859163152E473D6A10602155A92333E6E762</t>
  </si>
  <si>
    <t>010251859163152E473D6A10602155A92333E6E762</t>
  </si>
  <si>
    <t>82.5L/70KG/2BT</t>
  </si>
  <si>
    <t>자재 47</t>
  </si>
  <si>
    <t>51859163152E473D6A10602155A92333E6E761</t>
  </si>
  <si>
    <t>010251859163152E473D6A10602155A92333E6E761</t>
  </si>
  <si>
    <t>82.5L/70KG/1BT</t>
  </si>
  <si>
    <t>자재 48</t>
  </si>
  <si>
    <t>51859163152E473D6A10602155A92333E6E760</t>
  </si>
  <si>
    <t>010251859163152E473D6A10602155A92333E6E760</t>
  </si>
  <si>
    <t>82.5L/60KG/1BT</t>
  </si>
  <si>
    <t>자재 49</t>
  </si>
  <si>
    <t>51859163152E473D6A10602155A92333E6E76F</t>
  </si>
  <si>
    <t>010251859163152E473D6A10602155A92333E6E76F</t>
  </si>
  <si>
    <t>솔레노이드밸브</t>
  </si>
  <si>
    <t>자재 50</t>
  </si>
  <si>
    <t>51859163152E473D6A10602155A92333E6E76E</t>
  </si>
  <si>
    <t>010251859163152E473D6A10602155A92333E6E76E</t>
  </si>
  <si>
    <t>니들밸브</t>
  </si>
  <si>
    <t>6A</t>
  </si>
  <si>
    <t>자재 51</t>
  </si>
  <si>
    <t>51859163152E473D6A10602155A92333E6E641</t>
  </si>
  <si>
    <t>010251859163152E473D6A10602155A92333E6E641</t>
  </si>
  <si>
    <t>내진가대(기본형)</t>
  </si>
  <si>
    <t>모듈러 -2BT</t>
  </si>
  <si>
    <t>자재 52</t>
  </si>
  <si>
    <t>51859163152E473D6A10602155A92333E6E640</t>
  </si>
  <si>
    <t>010251859163152E473D6A10602155A92333E6E640</t>
  </si>
  <si>
    <t>모듈러 -1BT</t>
  </si>
  <si>
    <t>자재 53</t>
  </si>
  <si>
    <t>51859163152E473D6A10602155A92333E6E643</t>
  </si>
  <si>
    <t>010251859163152E473D6A10602155A92333E6E643</t>
  </si>
  <si>
    <t>FK-5-1-12 Nozzle(360˚)</t>
  </si>
  <si>
    <t>50A</t>
  </si>
  <si>
    <t>자재 54</t>
  </si>
  <si>
    <t>51859163152E473D6A10602155A92333E6E642</t>
  </si>
  <si>
    <t>010251859163152E473D6A10602155A92333E6E642</t>
  </si>
  <si>
    <t>FK-5-1-12 Nozzle(180˚)</t>
  </si>
  <si>
    <t>자재 55</t>
  </si>
  <si>
    <t>51859163152E473D6A10602155A92333E6E645</t>
  </si>
  <si>
    <t>010251859163152E473D6A10602155A92333E6E645</t>
  </si>
  <si>
    <t>40A</t>
  </si>
  <si>
    <t>자재 56</t>
  </si>
  <si>
    <t>51859163152E473D6A10602155A92333E6E644</t>
  </si>
  <si>
    <t>010251859163152E473D6A10602155A92333E6E644</t>
  </si>
  <si>
    <t>자재 57</t>
  </si>
  <si>
    <t>51859163152E473D6A10602155A92333E6E647</t>
  </si>
  <si>
    <t>010251859163152E473D6A10602155A92333E6E647</t>
  </si>
  <si>
    <t>과(부)압배출구 (성능인증품)</t>
  </si>
  <si>
    <t>600X600mm</t>
  </si>
  <si>
    <t>자재 58</t>
  </si>
  <si>
    <t>51859163152E473D6A10602155A92333E6E646</t>
  </si>
  <si>
    <t>010251859163152E473D6A10602155A92333E6E646</t>
  </si>
  <si>
    <t>400X400mm</t>
  </si>
  <si>
    <t>자재 59</t>
  </si>
  <si>
    <t>51859163152E473D6A10602155A92333E6E649</t>
  </si>
  <si>
    <t>010251859163152E473D6A10602155A92333E6E649</t>
  </si>
  <si>
    <t>300X300mm</t>
  </si>
  <si>
    <t>자재 60</t>
  </si>
  <si>
    <t>51859163152E473D6A10602155A92333E6E648</t>
  </si>
  <si>
    <t>010251859163152E473D6A10602155A92333E6E648</t>
  </si>
  <si>
    <t>200X200mm</t>
  </si>
  <si>
    <t>자재 61</t>
  </si>
  <si>
    <t>51859163152E473D6A10602155A92333E6E5BA</t>
  </si>
  <si>
    <t>010251859163152E473D6A10602155A92333E6E5BA</t>
  </si>
  <si>
    <t>구역명판</t>
  </si>
  <si>
    <t>FOMAX</t>
  </si>
  <si>
    <t>자재 62</t>
  </si>
  <si>
    <t>51859163152E473D6A10602155A92333E6E5BB</t>
  </si>
  <si>
    <t>010251859163152E473D6A10602155A92333E6E5BB</t>
  </si>
  <si>
    <t>작동설명판</t>
  </si>
  <si>
    <t>자재 63</t>
  </si>
  <si>
    <t>51859163152E473D6A10602155A92333E6E5B8</t>
  </si>
  <si>
    <t>010251859163152E473D6A10602155A92333E6E5B8</t>
  </si>
  <si>
    <t>방호구역도</t>
  </si>
  <si>
    <t>자재 64</t>
  </si>
  <si>
    <t>51859163152E473D6A10602155A92333E6E5B9</t>
  </si>
  <si>
    <t>010251859163152E473D6A10602155A92333E6E5B9</t>
  </si>
  <si>
    <t>KSD-3562 SCH40(백관)</t>
  </si>
  <si>
    <t>100A</t>
  </si>
  <si>
    <t>자재 65</t>
  </si>
  <si>
    <t>51859163152E473D6A10602155A92333E6E5BE</t>
  </si>
  <si>
    <t>010251859163152E473D6A10602155A92333E6E5BE</t>
  </si>
  <si>
    <t>65A</t>
  </si>
  <si>
    <t>자재 66</t>
  </si>
  <si>
    <t>51859163152E473D6A10602155A92333E6E5BF</t>
  </si>
  <si>
    <t>010251859163152E473D6A10602155A92333E6E5BF</t>
  </si>
  <si>
    <t>자재 67</t>
  </si>
  <si>
    <t>51859163152E473D6A10602155A92333E6E5BC</t>
  </si>
  <si>
    <t>010251859163152E473D6A10602155A92333E6E5BC</t>
  </si>
  <si>
    <t>자재 68</t>
  </si>
  <si>
    <t>51859163152E473D6A10602155A92333E6E5BD</t>
  </si>
  <si>
    <t>010251859163152E473D6A10602155A92333E6E5BD</t>
  </si>
  <si>
    <t>SCH40 그루브 관이음쇠</t>
  </si>
  <si>
    <t>엘보 , 100A</t>
  </si>
  <si>
    <t>자재 69</t>
  </si>
  <si>
    <t>51859163152E473D6A10602155A92333E6E5B2</t>
  </si>
  <si>
    <t>010251859163152E473D6A10602155A92333E6E5B2</t>
  </si>
  <si>
    <t>TEE , 100A</t>
  </si>
  <si>
    <t>자재 70</t>
  </si>
  <si>
    <t>51859163152E473D6A10602155A92333E6E5B3</t>
  </si>
  <si>
    <t>010251859163152E473D6A10602155A92333E6E5B3</t>
  </si>
  <si>
    <t>TEE , 65A</t>
  </si>
  <si>
    <t>자재 71</t>
  </si>
  <si>
    <t>51859163152E473D6A10602155A92333E6E493</t>
  </si>
  <si>
    <t>010251859163152E473D6A10602155A92333E6E493</t>
  </si>
  <si>
    <t>R/S , 100x65</t>
  </si>
  <si>
    <t>자재 72</t>
  </si>
  <si>
    <t>51859163152E473D6A10602155A92333E6E492</t>
  </si>
  <si>
    <t>010251859163152E473D6A10602155A92333E6E492</t>
  </si>
  <si>
    <t>R/S , 100x40</t>
  </si>
  <si>
    <t>자재 73</t>
  </si>
  <si>
    <t>51859163152E473D6A10602155A92333E6E491</t>
  </si>
  <si>
    <t>010251859163152E473D6A10602155A92333E6E491</t>
  </si>
  <si>
    <t>R/S , 65x50</t>
  </si>
  <si>
    <t>자재 74</t>
  </si>
  <si>
    <t>51859163152E473D6A10602155A92333E6E490</t>
  </si>
  <si>
    <t>010251859163152E473D6A10602155A92333E6E490</t>
  </si>
  <si>
    <t>플렉시블 커플링(그루브)</t>
  </si>
  <si>
    <t>유동식 , 100A</t>
  </si>
  <si>
    <t>자재 75</t>
  </si>
  <si>
    <t>51859163152E473D6A10602155A92333E6E497</t>
  </si>
  <si>
    <t>010251859163152E473D6A10602155A92333E6E497</t>
  </si>
  <si>
    <t>유동식 , 65A</t>
  </si>
  <si>
    <t>자재 76</t>
  </si>
  <si>
    <t>51859163152E473D6A10602155A92333E6E496</t>
  </si>
  <si>
    <t>010251859163152E473D6A10602155A92333E6E496</t>
  </si>
  <si>
    <t>유동식 , 50A</t>
  </si>
  <si>
    <t>자재 77</t>
  </si>
  <si>
    <t>51859163152E473D6A10602155A92333E6E495</t>
  </si>
  <si>
    <t>010251859163152E473D6A10602155A92333E6E495</t>
  </si>
  <si>
    <t>일반단조관이음쇠</t>
  </si>
  <si>
    <t>90엘보, 나사식 , 50A</t>
  </si>
  <si>
    <t>자재 78</t>
  </si>
  <si>
    <t>51859163152E473D6A10602155A92333E6E494</t>
  </si>
  <si>
    <t>010251859163152E473D6A10602155A92333E6E494</t>
  </si>
  <si>
    <t>90엘보, 나사식 , 40A</t>
  </si>
  <si>
    <t>자재 79</t>
  </si>
  <si>
    <t>51859163152E473D6A10602155A92333E6E49B</t>
  </si>
  <si>
    <t>010251859163152E473D6A10602155A92333E6E49B</t>
  </si>
  <si>
    <t>TEE , 나사식 , 50x40</t>
  </si>
  <si>
    <t>자재 80</t>
  </si>
  <si>
    <t>51859163152E473D6A10602155A92333E6E49A</t>
  </si>
  <si>
    <t>010251859163152E473D6A10602155A92333E6E49A</t>
  </si>
  <si>
    <t>R/S , 나사식 , 50x40</t>
  </si>
  <si>
    <t>자재 81</t>
  </si>
  <si>
    <t>51859163152E473D6A10602155A92333E6E38D</t>
  </si>
  <si>
    <t>010251859163152E473D6A10602155A92333E6E38D</t>
  </si>
  <si>
    <t>U볼트,너트</t>
  </si>
  <si>
    <t>자재 82</t>
  </si>
  <si>
    <t>51859163152E473D6A10602155A92333E6E38C</t>
  </si>
  <si>
    <t>010251859163152E473D6A10602155A92333E6E38C</t>
  </si>
  <si>
    <t>자재 83</t>
  </si>
  <si>
    <t>51859163152E473D6A10602155A92333E6E38F</t>
  </si>
  <si>
    <t>010251859163152E473D6A10602155A92333E6E38F</t>
  </si>
  <si>
    <t>자재 84</t>
  </si>
  <si>
    <t>51859163152E473D6A10602155A92333E6E38E</t>
  </si>
  <si>
    <t>010251859163152E473D6A10602155A92333E6E38E</t>
  </si>
  <si>
    <t>자재 85</t>
  </si>
  <si>
    <t>51859163152E473D6A10602155A92333E6E389</t>
  </si>
  <si>
    <t>010251859163152E473D6A10602155A92333E6E389</t>
  </si>
  <si>
    <t>인서트플레이트</t>
  </si>
  <si>
    <t>150x150x6T</t>
  </si>
  <si>
    <t>자재 86</t>
  </si>
  <si>
    <t>51859163152E473D6A10602155A92333E6E388</t>
  </si>
  <si>
    <t>010251859163152E473D6A10602155A92333E6E388</t>
  </si>
  <si>
    <t>조합페인트</t>
  </si>
  <si>
    <t>2 piece</t>
  </si>
  <si>
    <t>자재 87</t>
  </si>
  <si>
    <t>51859163152E473D6A10602155A92333E6E38B</t>
  </si>
  <si>
    <t>010251859163152E473D6A10602155A92333E6E38B</t>
  </si>
  <si>
    <t>ㄱ형강</t>
  </si>
  <si>
    <t>50x50x6T</t>
  </si>
  <si>
    <t>자재 88</t>
  </si>
  <si>
    <t>51859163152E473D6A10602155A92333E6E38A</t>
  </si>
  <si>
    <t>010251859163152E473D6A10602155A92333E6E38A</t>
  </si>
  <si>
    <t>잡철물제작설치</t>
  </si>
  <si>
    <t>TON</t>
  </si>
  <si>
    <t>자재 89</t>
  </si>
  <si>
    <t>51859163152E473D6A10602155A92333E6E385</t>
  </si>
  <si>
    <t>010251859163152E473D6A10602155A92333E6E385</t>
  </si>
  <si>
    <t>내진앙카볼트</t>
  </si>
  <si>
    <t>M12</t>
  </si>
  <si>
    <t>자재 90</t>
  </si>
  <si>
    <t>51859163152E473D6A10602155A92333E6E384</t>
  </si>
  <si>
    <t>010251859163152E473D6A10602155A92333E6E384</t>
  </si>
  <si>
    <t>셋트앙카볼트</t>
  </si>
  <si>
    <t xml:space="preserve">	3/8×70(9×70)</t>
  </si>
  <si>
    <t>자재 91</t>
  </si>
  <si>
    <t>51859163152E473D6A10602155A92333E6E2E6</t>
  </si>
  <si>
    <t>010251859163152E473D6A10602155A92333E6E2E6</t>
  </si>
  <si>
    <t>벽체타공(과압배출구설치)</t>
  </si>
  <si>
    <t>600mm</t>
  </si>
  <si>
    <t>자재 92</t>
  </si>
  <si>
    <t>51859163152E473D6A10602155A92333E6E2E7</t>
  </si>
  <si>
    <t>010251859163152E473D6A10602155A92333E6E2E7</t>
  </si>
  <si>
    <t>400mm</t>
  </si>
  <si>
    <t>자재 93</t>
  </si>
  <si>
    <t>51859163152E473D6A10602155A92333E6E2E4</t>
  </si>
  <si>
    <t>010251859163152E473D6A10602155A92333E6E2E4</t>
  </si>
  <si>
    <t>300mm</t>
  </si>
  <si>
    <t>자재 94</t>
  </si>
  <si>
    <t>51859163152E473D6A10602155A92333E6E2E5</t>
  </si>
  <si>
    <t>010251859163152E473D6A10602155A92333E6E2E5</t>
  </si>
  <si>
    <t>200mm</t>
  </si>
  <si>
    <t>자재 95</t>
  </si>
  <si>
    <t>51859163152E473D6A10602155A92333E6E2E2</t>
  </si>
  <si>
    <t>010251859163152E473D6A10602155A92333E6E2E2</t>
  </si>
  <si>
    <t>제품검사비(설계심사)</t>
  </si>
  <si>
    <t>1구역</t>
  </si>
  <si>
    <t>회</t>
  </si>
  <si>
    <t>자재 96</t>
  </si>
  <si>
    <t>51859163152E473D6A10602155A92333E6E2E3</t>
  </si>
  <si>
    <t>010251859163152E473D6A10602155A92333E6E2E3</t>
  </si>
  <si>
    <t>피스톤릴리즈댐퍼</t>
  </si>
  <si>
    <t>(STL)특수각형댐퍼,상대익형날개</t>
  </si>
  <si>
    <t>㎠</t>
  </si>
  <si>
    <t>자재 97</t>
  </si>
  <si>
    <t>51859163152E473D6A10602155A92333E6E2E0</t>
  </si>
  <si>
    <t>010251859163152E473D6A10602155A92333E6E2E0</t>
  </si>
  <si>
    <t>피스톤릴리즈</t>
  </si>
  <si>
    <t>일반피스톤</t>
  </si>
  <si>
    <t>자재 98</t>
  </si>
  <si>
    <t>51859163152E473D6A10602155A92333E6E2E1</t>
  </si>
  <si>
    <t>010251859163152E473D6A10602155A92333E6E2E1</t>
  </si>
  <si>
    <t>동관</t>
  </si>
  <si>
    <t>자재 99</t>
  </si>
  <si>
    <t>51859163152E473D6A10602155A92333E6E2EE</t>
  </si>
  <si>
    <t>010251859163152E473D6A10602155A92333E6E2EE</t>
  </si>
  <si>
    <t>동체크밸브</t>
  </si>
  <si>
    <t>자재 100</t>
  </si>
  <si>
    <t>51859163152E473D6A10602155A92333E6E2EF</t>
  </si>
  <si>
    <t>010251859163152E473D6A10602155A92333E6E2EF</t>
  </si>
  <si>
    <t>동티</t>
  </si>
  <si>
    <t>자재 101</t>
  </si>
  <si>
    <t>51859163152E473D6A10602155A92333E6E1DF</t>
  </si>
  <si>
    <t>010251859163152E473D6A10602155A92333E6E1DF</t>
  </si>
  <si>
    <t>동소켓</t>
  </si>
  <si>
    <t>자재 102</t>
  </si>
  <si>
    <t>51859163152E473D6A10602155A92333E6E1DE</t>
  </si>
  <si>
    <t>010251859163152E473D6A10602155A92333E6E1DE</t>
  </si>
  <si>
    <t>단조소켓</t>
  </si>
  <si>
    <t>15A</t>
  </si>
  <si>
    <t>자재 103</t>
  </si>
  <si>
    <t>51859163152E473D6A10602155A92333E6E1DD</t>
  </si>
  <si>
    <t>010251859163152E473D6A10602155A92333E6E1DD</t>
  </si>
  <si>
    <t>동어댑터</t>
  </si>
  <si>
    <t>15A x 6A</t>
  </si>
  <si>
    <t>자재 104</t>
  </si>
  <si>
    <t>51859163152E473D6A10602155A92333E6E1DC</t>
  </si>
  <si>
    <t>010251859163152E473D6A10602155A92333E6E1DC</t>
  </si>
  <si>
    <t>수동복구함</t>
  </si>
  <si>
    <t>가스압식</t>
  </si>
  <si>
    <t>자재 105</t>
  </si>
  <si>
    <t>51859163152E473D6A10602155A92333E6E1DB</t>
  </si>
  <si>
    <t>010251859163152E473D6A10602155A92333E6E1DB</t>
  </si>
  <si>
    <t>스틸전선관</t>
  </si>
  <si>
    <t>16C</t>
  </si>
  <si>
    <t>자재 106</t>
  </si>
  <si>
    <t>51859163152E473D6A10602155A92333E6E1DA</t>
  </si>
  <si>
    <t>010251859163152E473D6A10602155A92333E6E1DA</t>
  </si>
  <si>
    <t>양새들</t>
  </si>
  <si>
    <t>자재 107</t>
  </si>
  <si>
    <t>51859163152E473D6A10602155A92333E6E1D9</t>
  </si>
  <si>
    <t>010251859163152E473D6A10602155A92333E6E1D9</t>
  </si>
  <si>
    <t>로크너트</t>
  </si>
  <si>
    <t>자재 108</t>
  </si>
  <si>
    <t>51859163152E473D6A10602155A92333E6E1D8</t>
  </si>
  <si>
    <t>010251859163152E473D6A10602155A92333E6E1D8</t>
  </si>
  <si>
    <t>신설 소모잡자재비</t>
  </si>
  <si>
    <t>관의 3%</t>
  </si>
  <si>
    <t>식</t>
  </si>
  <si>
    <t>자재 109</t>
  </si>
  <si>
    <t>51859163152E473D6A10602155A92333E6E1D7</t>
  </si>
  <si>
    <t>010251859163152E473D6A10602155A92333E6E1D7</t>
  </si>
  <si>
    <t>신설 공구손료</t>
  </si>
  <si>
    <t>노무비의 3%</t>
  </si>
  <si>
    <t>자재 110</t>
  </si>
  <si>
    <t>51859163152E473D6A10602155A92333E6E1D6</t>
  </si>
  <si>
    <t>010251859163152E473D6A10602155A92333E6E1D6</t>
  </si>
  <si>
    <t>가스식(mini FK-5-1-12)자동소화장치</t>
  </si>
  <si>
    <t xml:space="preserve">	24㎏/19.8L×3BTL</t>
  </si>
  <si>
    <t>자재 111</t>
  </si>
  <si>
    <t>51859163152E473D6A10602155A92333E6E03A</t>
  </si>
  <si>
    <t>010251859163152E473D6A10602155A92333E6E03A</t>
  </si>
  <si>
    <t>자재 112</t>
  </si>
  <si>
    <t>51859163152E473D6A10602155A92333E6E03B</t>
  </si>
  <si>
    <t>010251859163152E473D6A10602155A92333E6E03B</t>
  </si>
  <si>
    <t>자재 113</t>
  </si>
  <si>
    <t>51859163152E473D6A10602155A92333E6E03C</t>
  </si>
  <si>
    <t>010251859163152E473D6A10602155A92333E6E03C</t>
  </si>
  <si>
    <t>소공간 소모잡자재비</t>
  </si>
  <si>
    <t>자재 114</t>
  </si>
  <si>
    <t>51859163152E473D6A10602155A92333E6E03D</t>
  </si>
  <si>
    <t>010251859163152E473D6A10602155A92333E6E03D</t>
  </si>
  <si>
    <t>소공간 공구손료</t>
  </si>
  <si>
    <t>자재 115</t>
  </si>
  <si>
    <t>51859163152E473D6A10602155A92333E6E03E</t>
  </si>
  <si>
    <t>010251859163152E473D6A10602155A92333E6E03E</t>
  </si>
  <si>
    <t>0103  철거공사</t>
  </si>
  <si>
    <t>0103</t>
  </si>
  <si>
    <t>CO2실린더 철거</t>
  </si>
  <si>
    <t>68L/45KG</t>
  </si>
  <si>
    <t>BTL</t>
  </si>
  <si>
    <t>자재 116</t>
  </si>
  <si>
    <t>51859163152E473D6A10602155A92333E6E030</t>
  </si>
  <si>
    <t>010351859163152E473D6A10602155A92333E6E030</t>
  </si>
  <si>
    <t>선택밸브 철거</t>
  </si>
  <si>
    <t>80A</t>
  </si>
  <si>
    <t>자재 117</t>
  </si>
  <si>
    <t>51859163152E473D6A10602155A92333E6E031</t>
  </si>
  <si>
    <t>010351859163152E473D6A10602155A92333E6E031</t>
  </si>
  <si>
    <t>기동용기함 철거</t>
  </si>
  <si>
    <t>0</t>
  </si>
  <si>
    <t>자재 118</t>
  </si>
  <si>
    <t>51859163152E473D6A10602155A92333E6EFBD</t>
  </si>
  <si>
    <t>010351859163152E473D6A10602155A92333E6EFBD</t>
  </si>
  <si>
    <t>SCH80 PIPE 철거</t>
  </si>
  <si>
    <t>자재 119</t>
  </si>
  <si>
    <t>51859163152E473D6A10602155A92333E6EFBC</t>
  </si>
  <si>
    <t>010351859163152E473D6A10602155A92333E6EFBC</t>
  </si>
  <si>
    <t>자재 120</t>
  </si>
  <si>
    <t>51859163152E473D6A10602155A92333E6EFBF</t>
  </si>
  <si>
    <t>010351859163152E473D6A10602155A92333E6EFBF</t>
  </si>
  <si>
    <t>자재 121</t>
  </si>
  <si>
    <t>51859163152E473D6A10602155A92333E6EFBE</t>
  </si>
  <si>
    <t>010351859163152E473D6A10602155A92333E6EFBE</t>
  </si>
  <si>
    <t>32A</t>
  </si>
  <si>
    <t>자재 122</t>
  </si>
  <si>
    <t>51859163152E473D6A10602155A92333E6EFB9</t>
  </si>
  <si>
    <t>010351859163152E473D6A10602155A92333E6EFB9</t>
  </si>
  <si>
    <t>25A</t>
  </si>
  <si>
    <t>자재 123</t>
  </si>
  <si>
    <t>51859163152E473D6A10602155A92333E6EFB8</t>
  </si>
  <si>
    <t>010351859163152E473D6A10602155A92333E6EFB8</t>
  </si>
  <si>
    <t>CO2 노즐 철거</t>
  </si>
  <si>
    <t>자재 124</t>
  </si>
  <si>
    <t>51859163152E473D6A10602155A92333E6EFBB</t>
  </si>
  <si>
    <t>010351859163152E473D6A10602155A92333E6EFBB</t>
  </si>
  <si>
    <t>철거 공구손료</t>
  </si>
  <si>
    <t>자재 125</t>
  </si>
  <si>
    <t>51859163152E473D6A10602155A92333E6EFBA</t>
  </si>
  <si>
    <t>010351859163152E473D6A10602155A92333E6EFBA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</si>
  <si>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</si>
  <si>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</si>
  <si>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</si>
  <si>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</si>
  <si>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</si>
  <si>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</si>
  <si>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</si>
  <si>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</si>
  <si>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</si>
  <si>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</si>
  <si>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</si>
  <si>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</si>
  <si>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</si>
  <si>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</si>
  <si>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</si>
  <si>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</si>
  <si>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</si>
  <si>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</si>
  <si>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</si>
  <si>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</si>
  <si>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할증체크</t>
  </si>
  <si>
    <t>코아드릴  15.24cm  HR  공통 8-3(5901)   ( 호표 1 )</t>
  </si>
  <si>
    <t>570571624ABE4A0163D71B258390B9F8003DC7D9</t>
  </si>
  <si>
    <t>코아드릴</t>
  </si>
  <si>
    <t>15.24cm</t>
  </si>
  <si>
    <t>HR</t>
  </si>
  <si>
    <t>호표 1</t>
  </si>
  <si>
    <t>A</t>
  </si>
  <si>
    <t>공통 8-3(5901)</t>
  </si>
  <si>
    <t>코어드릴</t>
  </si>
  <si>
    <t>자재 1</t>
  </si>
  <si>
    <t>570571624ABE4A0163D71B258390B9F8003DC7</t>
  </si>
  <si>
    <t>570571624ABE4A0163D71B258390B9F8003DC7D9570571624ABE4A0163D71B258390B9F8003DC7</t>
  </si>
  <si>
    <t xml:space="preserve"> [ 합          계 ]</t>
  </si>
  <si>
    <t>용접기(교류)  500Amp  HR  공통 8-3(7611)   ( 호표 2 )</t>
  </si>
  <si>
    <t>570571624ABE485D6445CD2588BD1A84505F2A5F</t>
  </si>
  <si>
    <t>용접기(교류)</t>
  </si>
  <si>
    <t>500Amp</t>
  </si>
  <si>
    <t>호표 2</t>
  </si>
  <si>
    <t>공통 8-3(7611)</t>
  </si>
  <si>
    <t>자재 2</t>
  </si>
  <si>
    <t>570571624ABE485D6445CD2588BD1A84505F2A</t>
  </si>
  <si>
    <t>570571624ABE485D6445CD2588BD1A84505F2A5F570571624ABE485D6445CD2588BD1A84505F2A</t>
  </si>
  <si>
    <t>강관 조립말비계(이동식)설치 및 해체  높이 4m, 노무비  대  공통 2-7-6   ( 호표 3 )</t>
  </si>
  <si>
    <t>5011B16E8E4F41386BB4A82F4045DA</t>
  </si>
  <si>
    <t>높이 4m, 노무비</t>
  </si>
  <si>
    <t>호표 3</t>
  </si>
  <si>
    <t>공통 2-7-6</t>
  </si>
  <si>
    <t>비계공</t>
  </si>
  <si>
    <t>일반공사 직종</t>
  </si>
  <si>
    <t>인</t>
  </si>
  <si>
    <t>노임 3</t>
  </si>
  <si>
    <t>50C74160D719457B65AD7F2A23B3B54D7ED052</t>
  </si>
  <si>
    <t>5011B16E8E4F41386BB4A82F4045DA50C74160D719457B65AD7F2A23B3B54D7ED052</t>
  </si>
  <si>
    <t>보통인부</t>
  </si>
  <si>
    <t>노임 1</t>
  </si>
  <si>
    <t>50C74160D719457B65AD7F2A23B3B54D7ED056</t>
  </si>
  <si>
    <t>5011B16E8E4F41386BB4A82F4045DA50C74160D719457B65AD7F2A23B3B54D7ED056</t>
  </si>
  <si>
    <t>강관 조립말비계(이동식)설치 및 해체  높이 4m, 3개월  대  공통 2-7-6, 2-2-5   ( 호표 4 )</t>
  </si>
  <si>
    <t>공통 2-7-6, 2-2-5</t>
  </si>
  <si>
    <t>비계안정장치</t>
  </si>
  <si>
    <t>비계안정장치, 비계기본틀, 기둥, 1.2*1.7m</t>
  </si>
  <si>
    <t>자재 10</t>
  </si>
  <si>
    <t>5732B1682CAE413763799E20EE1FEAF7BF5639</t>
  </si>
  <si>
    <t>5011B16E8E4F41386BB4A82D93F3F75732B1682CAE413763799E20EE1FEAF7BF5639</t>
  </si>
  <si>
    <t>비계안정장치, 가새, 1.2*1.9m</t>
  </si>
  <si>
    <t>자재 11</t>
  </si>
  <si>
    <t>5732B1682CAE413763799E20EE1FEAF7BF5637</t>
  </si>
  <si>
    <t>5011B16E8E4F41386BB4A82D93F3F75732B1682CAE413763799E20EE1FEAF7BF5637</t>
  </si>
  <si>
    <t>비계안정장치, 수평띠장, 1829mm</t>
  </si>
  <si>
    <t>자재 12</t>
  </si>
  <si>
    <t>5732B1682CAE413763799E20EE1FEAF7BF59F0</t>
  </si>
  <si>
    <t>5011B16E8E4F41386BB4A82D93F3F75732B1682CAE413763799E20EE1FEAF7BF59F0</t>
  </si>
  <si>
    <t>비계안정장치, 손잡이기둥</t>
  </si>
  <si>
    <t>자재 15</t>
  </si>
  <si>
    <t>5732B1682CAE413763799E20EE1FEAF7BF59F7</t>
  </si>
  <si>
    <t>5011B16E8E4F41386BB4A82D93F3F75732B1682CAE413763799E20EE1FEAF7BF59F7</t>
  </si>
  <si>
    <t>비계안정장치, 손잡이, 1229mm</t>
  </si>
  <si>
    <t>자재 13</t>
  </si>
  <si>
    <t>5732B1682CAE413763799E20EE1FEAF7BF59F1</t>
  </si>
  <si>
    <t>5011B16E8E4F41386BB4A82D93F3F75732B1682CAE413763799E20EE1FEAF7BF59F1</t>
  </si>
  <si>
    <t>비계안정장치, 손잡이, 1829mm</t>
  </si>
  <si>
    <t>자재 14</t>
  </si>
  <si>
    <t>5732B1682CAE413763799E20EE1FEAF7BF59F6</t>
  </si>
  <si>
    <t>5011B16E8E4F41386BB4A82D93F3F75732B1682CAE413763799E20EE1FEAF7BF59F6</t>
  </si>
  <si>
    <t>비계안정장치, 이음철물, 연결핀</t>
  </si>
  <si>
    <t>자재 9</t>
  </si>
  <si>
    <t>5732B1682CAE413763799E20EE1FEAF7BF5477</t>
  </si>
  <si>
    <t>5011B16E8E4F41386BB4A82D93F3F75732B1682CAE413763799E20EE1FEAF7BF5477</t>
  </si>
  <si>
    <t>비계안정장치, 바퀴</t>
  </si>
  <si>
    <t>자재 16</t>
  </si>
  <si>
    <t>5732B1682CAE413763799E20EE1FEAF7BF59F4</t>
  </si>
  <si>
    <t>5011B16E8E4F41386BB4A82D93F3F75732B1682CAE413763799E20EE1FEAF7BF59F4</t>
  </si>
  <si>
    <t>비계안정장치, 쟈키</t>
  </si>
  <si>
    <t>자재 17</t>
  </si>
  <si>
    <t>5732B1682CAE413763799E20EE1FEAF7BF59F5</t>
  </si>
  <si>
    <t>5011B16E8E4F41386BB4A82D93F3F75732B1682CAE413763799E20EE1FEAF7BF59F5</t>
  </si>
  <si>
    <t>비계안정장치, 발판, 40*200*2000</t>
  </si>
  <si>
    <t>장</t>
  </si>
  <si>
    <t>자재 18</t>
  </si>
  <si>
    <t>5732B1682CAE413763799E20EC530B719E553D</t>
  </si>
  <si>
    <t>5011B16E8E4F41386BB4A82D93F3F75732B1682CAE413763799E20EC530B719E553D</t>
  </si>
  <si>
    <t>5011B16E8E4F41386BB4A82D93F3F75011B16E8E4F41386BB4A82F4045DA</t>
  </si>
  <si>
    <t>잡철물설치(철제)  간단  kg  건축 8-4-1   ( 호표 5 )</t>
  </si>
  <si>
    <t>건축 8-4-1</t>
  </si>
  <si>
    <t>용접봉(연강용)</t>
  </si>
  <si>
    <t>3.2(KSE4301)</t>
  </si>
  <si>
    <t>자재 5</t>
  </si>
  <si>
    <t>57207164FAAE4B7E620D7C27C5884E50B80F81</t>
  </si>
  <si>
    <t>5011016F24EC46326CCAB425E4BD3357207164FAAE4B7E620D7C27C5884E50B80F81</t>
  </si>
  <si>
    <t>산소가스</t>
  </si>
  <si>
    <t>기체</t>
  </si>
  <si>
    <t>L</t>
  </si>
  <si>
    <t>자재 3</t>
  </si>
  <si>
    <t>5717C160104142526D70C722B0B8ACD98816FF</t>
  </si>
  <si>
    <t>5011016F24EC46326CCAB425E4BD335717C160104142526D70C722B0B8ACD98816FF</t>
  </si>
  <si>
    <t>아세틸렌가스</t>
  </si>
  <si>
    <t>아세틸렌가스, kg</t>
  </si>
  <si>
    <t>자재 4</t>
  </si>
  <si>
    <t>5717B167881045D46C86D92AEBE8E4813D0A6D</t>
  </si>
  <si>
    <t>5011016F24EC46326CCAB425E4BD335717B167881045D46C86D92AEBE8E4813D0A6D</t>
  </si>
  <si>
    <t>5011016F24EC46326CCAB425E4BD33570571624ABE485D6445CD2588BD1A84505F2A5F</t>
  </si>
  <si>
    <t>철공</t>
  </si>
  <si>
    <t>노임 4</t>
  </si>
  <si>
    <t>50C74160D719457B65AD7F2A23B3B54D7ED05D</t>
  </si>
  <si>
    <t>5011016F24EC46326CCAB425E4BD3350C74160D719457B65AD7F2A23B3B54D7ED05D</t>
  </si>
  <si>
    <t>5011016F24EC46326CCAB425E4BD3350C74160D719457B65AD7F2A23B3B54D7ED056</t>
  </si>
  <si>
    <t>용접공</t>
  </si>
  <si>
    <t>노임 5</t>
  </si>
  <si>
    <t>50C74160D719457B65AD7F2A23B3B54D7ED179</t>
  </si>
  <si>
    <t>5011016F24EC46326CCAB425E4BD3350C74160D719457B65AD7F2A23B3B54D7ED179</t>
  </si>
  <si>
    <t>특별인부</t>
  </si>
  <si>
    <t>노임 2</t>
  </si>
  <si>
    <t>50C74160D719457B65AD7F2A23B3B54D7ED057</t>
  </si>
  <si>
    <t>5011016F24EC46326CCAB425E4BD3350C74160D719457B65AD7F2A23B3B54D7ED057</t>
  </si>
  <si>
    <t>텍스 철거후 재설치    ㎡  건축 12-2-1   ( 호표 6 )</t>
  </si>
  <si>
    <t>건축 12-2-1</t>
  </si>
  <si>
    <t>건축목공</t>
  </si>
  <si>
    <t>노임 7</t>
  </si>
  <si>
    <t>50C74160D719457B65AD7F2A23B3B54D7ED201</t>
  </si>
  <si>
    <t>5010B167C66E4E4D6D7CDD288F941550C74160D719457B65AD7F2A23B3B54D7ED201</t>
  </si>
  <si>
    <t>5010B167C66E4E4D6D7CDD288F941550C74160D719457B65AD7F2A23B3B54D7ED056</t>
  </si>
  <si>
    <t>배관용 구멍뚫기(코어드릴)-Con,c  두께 30cm 이하 ∮25mm, 벽  개소  전기 5-29-2.나   ( 호표 7 )</t>
  </si>
  <si>
    <t>전기 5-29-2.나</t>
  </si>
  <si>
    <t>505B016322B745D26B9118298EB0BB570571624ABE4A0163D71B258390B9F8003DC7D9</t>
  </si>
  <si>
    <t>착암공</t>
  </si>
  <si>
    <t>노임 6</t>
  </si>
  <si>
    <t>50C74160D719457B65AD7F2A23B3B54D7ED17E</t>
  </si>
  <si>
    <t>505B016322B745D26B9118298EB0BB50C74160D719457B65AD7F2A23B3B54D7ED17E</t>
  </si>
  <si>
    <t>505B016322B745D26B9118298EB0BB50C74160D719457B65AD7F2A23B3B54D7ED056</t>
  </si>
  <si>
    <t>강제 전선관  아연도  16 mm  M  전기 5-1   ( 호표 8 )</t>
  </si>
  <si>
    <t>전기 5-1</t>
  </si>
  <si>
    <t>강제전선관</t>
  </si>
  <si>
    <t>강제전선관, 후강전선관, 아연도, 16mm</t>
  </si>
  <si>
    <t>자재 32</t>
  </si>
  <si>
    <t>5732216A744C4F9E6B1E0E20E6D98566240CAF</t>
  </si>
  <si>
    <t>505B01641A6B48CC6AE99620450FAC5732216A744C4F9E6B1E0E20E6D98566240CAF</t>
  </si>
  <si>
    <t>전선관부속품비</t>
  </si>
  <si>
    <t>전선관의 15%</t>
  </si>
  <si>
    <t>5108F16CEFA74B446FFFDB27CDFD001</t>
  </si>
  <si>
    <t>505B01641A6B48CC6AE99620450FAC5108F16CEFA74B446FFFDB27CDFD001</t>
  </si>
  <si>
    <t>잡재료비</t>
  </si>
  <si>
    <t>배관배선의 2%</t>
  </si>
  <si>
    <t>5108F16CEFA74B446FFFDB27CDFE002</t>
  </si>
  <si>
    <t>505B01641A6B48CC6AE99620450FAC5108F16CEFA74B446FFFDB27CDFE002</t>
  </si>
  <si>
    <t>내선전공</t>
  </si>
  <si>
    <t>노임 9</t>
  </si>
  <si>
    <t>50C74160D719457B65AD7F2A23B3B54D7ED786</t>
  </si>
  <si>
    <t>505B01641A6B48CC6AE99620450FAC50C74160D719457B65AD7F2A23B3B54D7ED786</t>
  </si>
  <si>
    <t>강제 전선관  아연도  22 mm  M  전기 5-1   ( 호표 9 )</t>
  </si>
  <si>
    <t>강제전선관, 후강전선관, 아연도, 22mm</t>
  </si>
  <si>
    <t>자재 33</t>
  </si>
  <si>
    <t>5732216A744C4F9E6B1E0E20E6D98566240CAE</t>
  </si>
  <si>
    <t>505B01641A6B48CC6AE99620450CD75732216A744C4F9E6B1E0E20E6D98566240CAE</t>
  </si>
  <si>
    <t>505B01641A6B48CC6AE99620450CD75108F16CEFA74B446FFFDB27CDFD001</t>
  </si>
  <si>
    <t>505B01641A6B48CC6AE99620450CD75108F16CEFA74B446FFFDB27CDFE002</t>
  </si>
  <si>
    <t>505B01641A6B48CC6AE99620450CD750C74160D719457B65AD7F2A23B3B54D7ED786</t>
  </si>
  <si>
    <t>강제 전선관  아연도  28 mm  M  전기 5-1   ( 호표 10 )</t>
  </si>
  <si>
    <t>강제전선관, 후강전선관, 아연도, 28mm</t>
  </si>
  <si>
    <t>자재 34</t>
  </si>
  <si>
    <t>5732216A744C4F9E6B1E0E20E6D98566240CA9</t>
  </si>
  <si>
    <t>505B01641A6B48CC6AE99620450DFE5732216A744C4F9E6B1E0E20E6D98566240CA9</t>
  </si>
  <si>
    <t>505B01641A6B48CC6AE99620450DFE5108F16CEFA74B446FFFDB27CDFD001</t>
  </si>
  <si>
    <t>505B01641A6B48CC6AE99620450DFE5108F16CEFA74B446FFFDB27CDFE002</t>
  </si>
  <si>
    <t>505B01641A6B48CC6AE99620450DFE50C74160D719457B65AD7F2A23B3B54D7ED786</t>
  </si>
  <si>
    <t>1종금속제가요전선관  16 mm 비방수  M  전기 5-1   ( 호표 11 )</t>
  </si>
  <si>
    <t>1종금속제가요전선관, 16mm, 비방수</t>
  </si>
  <si>
    <t>자재 35</t>
  </si>
  <si>
    <t>5732216A744C4F9E6B1E0E23BAB6FE6BF5FB6E</t>
  </si>
  <si>
    <t>505B01641A6B48CD6B5886243C171B5732216A744C4F9E6B1E0E23BAB6FE6BF5FB6E</t>
  </si>
  <si>
    <t>505B01641A6B48CD6B5886243C171B5108F16CEFA74B446FFFDB27CDFE002</t>
  </si>
  <si>
    <t>505B01641A6B48CD6B5886243C171B50C74160D719457B65AD7F2A23B3B54D7ED786</t>
  </si>
  <si>
    <t>케이블트레이부속품</t>
  </si>
  <si>
    <t>케이블트레이부속품, U Channel, 41*41*t2.6mm</t>
  </si>
  <si>
    <t>KG</t>
  </si>
  <si>
    <t>자재 31</t>
  </si>
  <si>
    <t>5732216A744C4F9E6B1E3B271939690311E6A7</t>
  </si>
  <si>
    <t>505B01641A6B48C06FD8E029F22B815732216A744C4F9E6B1E3B271939690311E6A7</t>
  </si>
  <si>
    <t>케이블클램프</t>
  </si>
  <si>
    <t>케이블클램프, 접지크램프, 16C</t>
  </si>
  <si>
    <t>자재 28</t>
  </si>
  <si>
    <t>5732216A745D44DA6567432C3FB255DD98FD94</t>
  </si>
  <si>
    <t>505B01641A6B48C06FD8E029F22B815732216A745D44DA6567432C3FB255DD98FD94</t>
  </si>
  <si>
    <t>505B01641A6B48C06FD8E029F22B8150C74160D719457B65AD7F2A23B3B54D7ED786</t>
  </si>
  <si>
    <t>케이블클램프, 접지크램프, 22C</t>
  </si>
  <si>
    <t>자재 29</t>
  </si>
  <si>
    <t>5732216A745D44DA6567432C3FB255DD98FD97</t>
  </si>
  <si>
    <t>505B01641A6B48C06FD8E029F228CD5732216A745D44DA6567432C3FB255DD98FD97</t>
  </si>
  <si>
    <t>505B01641A6B48C06FD8E029F228CD50C74160D719457B65AD7F2A23B3B54D7ED786</t>
  </si>
  <si>
    <t>케이블클램프, 접지크램프, 28C</t>
  </si>
  <si>
    <t>자재 30</t>
  </si>
  <si>
    <t>5732216A745D44DA6567432C3FB255DD98FD96</t>
  </si>
  <si>
    <t>505B01641A6B48C06FD8E029F229D45732216A745D44DA6567432C3FB255DD98FD96</t>
  </si>
  <si>
    <t>505B01641A6B48C06FD8E029F229D450C74160D719457B65AD7F2A23B3B54D7ED786</t>
  </si>
  <si>
    <t>450/75OV 저독성난연가교폴리올레핀절연전선(HFIX)  1.38㎜  m  전기 5-10   ( 호표 15 )</t>
  </si>
  <si>
    <t>전기 5-10</t>
  </si>
  <si>
    <t>저독성난연케이블</t>
  </si>
  <si>
    <t>HFIX, 1.38㎜</t>
  </si>
  <si>
    <t>자재 6</t>
  </si>
  <si>
    <t>5720216CA9CA4B1363151E258BD61216C17237</t>
  </si>
  <si>
    <t>505B01641A59413E6CB4C82253D1D65720216CA9CA4B1363151E258BD61216C17237</t>
  </si>
  <si>
    <t>505B01641A59413E6CB4C82253D1D65108F16CEFA74B446FFFDB27CDFD001</t>
  </si>
  <si>
    <t>505B01641A59413E6CB4C82253D1D650C74160D719457B65AD7F2A23B3B54D7ED786</t>
  </si>
  <si>
    <t>450/75OV 저독성난연가교폴리올레핀절연전선(HFIX)  1.78㎜  m  전기 5-10   ( 호표 16 )</t>
  </si>
  <si>
    <t>HFIX, 1.78㎜</t>
  </si>
  <si>
    <t>자재 7</t>
  </si>
  <si>
    <t>5720216CA9CA4B1363151E258BD61216C17236</t>
  </si>
  <si>
    <t>505B01641A59413E6CB4C82253D2FF5720216CA9CA4B1363151E258BD61216C17236</t>
  </si>
  <si>
    <t>505B01641A59413E6CB4C82253D2FF5108F16CEFA74B446FFFDB27CDFD001</t>
  </si>
  <si>
    <t>505B01641A59413E6CB4C82253D2FF50C74160D719457B65AD7F2A23B3B54D7ED786</t>
  </si>
  <si>
    <t>0.6/1kV 내화 케이블 (F-FR-8)  3C 2.5㎟  m  전기 5-13   ( 호표 17 )</t>
  </si>
  <si>
    <t>전기 5-13</t>
  </si>
  <si>
    <t>내화전선</t>
  </si>
  <si>
    <t>내화전선, 0.6/1kv, F-FR-8, 3C*2.5㎟</t>
  </si>
  <si>
    <t>자재 8</t>
  </si>
  <si>
    <t>5720216CA9CA4B13637E072910C1765A1B4A6C</t>
  </si>
  <si>
    <t>505B01641A484BD16D60AB21A7ADF05720216CA9CA4B13637E072910C1765A1B4A6C</t>
  </si>
  <si>
    <t>505B01641A484BD16D60AB21A7ADF05108F16CEFA74B446FFFDB27CDFD001</t>
  </si>
  <si>
    <t>저압케이블전공</t>
  </si>
  <si>
    <t>노임 10</t>
  </si>
  <si>
    <t>50C74160D719457B65AD7F2A23B3B54D7ED78B</t>
  </si>
  <si>
    <t>505B01641A484BD16D60AB21A7ADF050C74160D719457B65AD7F2A23B3B54D7ED78B</t>
  </si>
  <si>
    <t>경종 설치    개  전기 10-2-5   ( 호표 18 )</t>
  </si>
  <si>
    <t>전기 10-2-5</t>
  </si>
  <si>
    <t>경종</t>
  </si>
  <si>
    <t>DC24V</t>
  </si>
  <si>
    <t>자재 40</t>
  </si>
  <si>
    <t>5743416A3B4C48286B29232DBD9070DE61EBFD</t>
  </si>
  <si>
    <t>505B01641AE84E05648CA52A944A2D5743416A3B4C48286B29232DBD9070DE61EBFD</t>
  </si>
  <si>
    <t>505B01641AE84E05648CA52A944A2D50C74160D719457B65AD7F2A23B3B54D7ED786</t>
  </si>
  <si>
    <t>화재감지기  열감지기,차동식스포트형  개  전기 10-2-1   ( 호표 19 )</t>
  </si>
  <si>
    <t>전기 10-2-1</t>
  </si>
  <si>
    <t>열감지기</t>
  </si>
  <si>
    <t>차동식 스포트형</t>
  </si>
  <si>
    <t>자재 38</t>
  </si>
  <si>
    <t>5743416A3B4C48286B296928AD43735B646EBC</t>
  </si>
  <si>
    <t>505B016424A64E5269CA9C2E10B5135743416A3B4C48286B296928AD43735B646EBC</t>
  </si>
  <si>
    <t>505B016424A64E5269CA9C2E10B51350C74160D719457B65AD7F2A23B3B54D7ED786</t>
  </si>
  <si>
    <t>덕트관통부채움    EA  소방 2-7-4   ( 호표 20 )</t>
  </si>
  <si>
    <t>소방 2-7-4</t>
  </si>
  <si>
    <t>덕트관통부 채움</t>
  </si>
  <si>
    <t>자재 19</t>
  </si>
  <si>
    <t>5732A16FD39B4CFA63CA662B17FC2C18D72BE7</t>
  </si>
  <si>
    <t>505B016424A64E5269CA9C2E10B5105732A16FD39B4CFA63CA662B17FC2C18D72BE7</t>
  </si>
  <si>
    <t>505B016424A64E5269CA9C2E10B51050C74160D719457B65AD7F2A23B3B54D7ED056</t>
  </si>
  <si>
    <t>배관공</t>
  </si>
  <si>
    <t>노임 8</t>
  </si>
  <si>
    <t>50C74160D719457B65AD7F2A23B3B54D7ED321</t>
  </si>
  <si>
    <t>505B016424A64E5269CA9C2E10B51050C74160D719457B65AD7F2A23B3B54D7ED321</t>
  </si>
  <si>
    <t>배관관통부채움    EA  소방 2-7-4   ( 호표 21 )</t>
  </si>
  <si>
    <t>배관관통부 채움</t>
  </si>
  <si>
    <t>자재 20</t>
  </si>
  <si>
    <t>5732A16FD39B4CFA63CA662B17FC2C18D72BE8</t>
  </si>
  <si>
    <t>505B016424A64E5269CA9C2E10B5175732A16FD39B4CFA63CA662B17FC2C18D72BE8</t>
  </si>
  <si>
    <t>505B016424A64E5269CA9C2E10B51750C74160D719457B65AD7F2A23B3B54D7ED321</t>
  </si>
  <si>
    <t>화재감지기  연기감지기,광전식2종-비축적  개  전기 10-2-1   ( 호표 22 )</t>
  </si>
  <si>
    <t>연기감지기</t>
  </si>
  <si>
    <t>광전식2종-비축적</t>
  </si>
  <si>
    <t>자재 39</t>
  </si>
  <si>
    <t>5743416A3B4C48286B296928AD43735B646D94</t>
  </si>
  <si>
    <t>505B016424A64E5269CA9C2E10B0955743416A3B4C48286B296928AD43735B646D94</t>
  </si>
  <si>
    <t>505B016424A64E5269CA9C2E10B09550C74160D719457B65AD7F2A23B3B54D7ED786</t>
  </si>
  <si>
    <t>화재감지기 - 철거    개  전기 10-2-1   ( 호표 23 )</t>
  </si>
  <si>
    <t>505B016424A64E5269CA9C2E10B25F50C74160D719457B65AD7F2A23B3B54D7ED786</t>
  </si>
  <si>
    <t>전자싸이렌 - 철거    M  전기 10-2-5   ( 호표 24 )</t>
  </si>
  <si>
    <t>505B016424A64E5269CA9C2E10BC4B50C74160D719457B65AD7F2A23B3B54D7ED786</t>
  </si>
  <si>
    <t>전자사이렌 설치  DC 24V  개  전기 10-2-5   ( 호표 25 )</t>
  </si>
  <si>
    <t>전자싸이렌</t>
  </si>
  <si>
    <t>자재 37</t>
  </si>
  <si>
    <t>5743416A3BA540B46AFC422FC74BCCD14A3F29</t>
  </si>
  <si>
    <t>505B016424A64E5269CAAD250205F05743416A3BA540B46AFC422FC74BCCD14A3F29</t>
  </si>
  <si>
    <t>505B016424A64E5269CAAD250205F050C74160D719457B65AD7F2A23B3B54D7ED786</t>
  </si>
  <si>
    <t>자동폐쇄장치-창문형  DC-24V  개  전기 10-1-1   ( 호표 26 )</t>
  </si>
  <si>
    <t>전기 10-1-1</t>
  </si>
  <si>
    <t>자동폐쇄장치-창문형(설치비포함)</t>
  </si>
  <si>
    <t>자재 43</t>
  </si>
  <si>
    <t>576FC16697314C5367BA7326B3869661C13BDE</t>
  </si>
  <si>
    <t>505B016424A64E5269CABF2B04DBB6576FC16697314C5367BA7326B3869661C13BDE</t>
  </si>
  <si>
    <t>자동폐쇄장치-방화문  DC-24V  개  전기 10-1-1   ( 호표 27 )</t>
  </si>
  <si>
    <t>자동폐쇄장치-방화문(설치비포함)</t>
  </si>
  <si>
    <t>자재 44</t>
  </si>
  <si>
    <t>576FC16697314C5367BA7326B3869661C13BDF</t>
  </si>
  <si>
    <t>505B016424A64E5269CABF2B04DA98576FC16697314C5367BA7326B3869661C13BDF</t>
  </si>
  <si>
    <t>경비실 부수신기 재결선  지하층 2구역 철거 및 지하수신기 1구역 연동  대     ( 호표 28 )</t>
  </si>
  <si>
    <t>505B016424A64E5269CAC822D7000C50C74160D719457B65AD7F2A23B3B54D7ED786</t>
  </si>
  <si>
    <t>통제실 메인수신기 재결선  지하층 2구역 철거 및 지하수신기 1구역 연동  대     ( 호표 29 )</t>
  </si>
  <si>
    <t>505B016424A64E5269CAC822D7000F50C74160D719457B65AD7F2A23B3B54D7ED786</t>
  </si>
  <si>
    <t>가스수신반    대  전기 10-2-7   ( 호표 30 )</t>
  </si>
  <si>
    <t>전기 10-2-7</t>
  </si>
  <si>
    <t>가스소화수신기</t>
  </si>
  <si>
    <t>6회로</t>
  </si>
  <si>
    <t>자재 42</t>
  </si>
  <si>
    <t>576FC16697314C5367BA7326B3869661C015DB</t>
  </si>
  <si>
    <t>505B016424A64E5269CAC822D55C9C576FC16697314C5367BA7326B3869661C015DB</t>
  </si>
  <si>
    <t>505B016424A64E5269CAC822D55C9C50C74160D719457B65AD7F2A23B3B54D7ED786</t>
  </si>
  <si>
    <t>걸이시설설치  생명줄포함  개소  전기 5-29   ( 호표 31 )</t>
  </si>
  <si>
    <t>전기 5-29</t>
  </si>
  <si>
    <t>아이너트</t>
  </si>
  <si>
    <t>M20*30</t>
  </si>
  <si>
    <t>자재 23</t>
  </si>
  <si>
    <t>5732A16FD39B4F476CC5B42CB39A7FC938F22E</t>
  </si>
  <si>
    <t>505B016424A64E5269CAC822D44C455732A16FD39B4F476CC5B42CB39A7FC938F22E</t>
  </si>
  <si>
    <t>세트앵커</t>
  </si>
  <si>
    <t>세트앵커, M20*L150mm</t>
  </si>
  <si>
    <t>자재 22</t>
  </si>
  <si>
    <t>5732A16FD39B4F476CC5B42CB39A7FC938F22F</t>
  </si>
  <si>
    <t>505B016424A64E5269CAC822D44C455732A16FD39B4F476CC5B42CB39A7FC938F22F</t>
  </si>
  <si>
    <t>505B016424A64E5269CAC822D44C4550C74160D719457B65AD7F2A23B3B54D7ED786</t>
  </si>
  <si>
    <t>전원반  자동폐쇄장치전원반, 15A  대  전기 10-2-10   ( 호표 32 )</t>
  </si>
  <si>
    <t>전기 10-2-10</t>
  </si>
  <si>
    <t>자동폐쇄장치전원반(창문형), 15A</t>
  </si>
  <si>
    <t>자재 25</t>
  </si>
  <si>
    <t>5732216A745D44DC604EDE2BD83A09F0C8AAD2</t>
  </si>
  <si>
    <t>505B016424A64E5269CAC822D44BBF5732216A745D44DC604EDE2BD83A09F0C8AAD2</t>
  </si>
  <si>
    <t>505B016424A64E5269CAC822D44BBF50C74160D719457B65AD7F2A23B3B54D7ED786</t>
  </si>
  <si>
    <t>아우트렛박스  중형4각 54㎜  대  전기 5-3   ( 호표 33 )</t>
  </si>
  <si>
    <t>전기 5-3</t>
  </si>
  <si>
    <t>아웃렛박스</t>
  </si>
  <si>
    <t>아웃렛박스, 중형4각, 54mm</t>
  </si>
  <si>
    <t>자재 26</t>
  </si>
  <si>
    <t>5732216A745D44DE631C9A2EECB60AE7869F22</t>
  </si>
  <si>
    <t>505B016424794B996FF06424F6D40C5732216A745D44DE631C9A2EECB60AE7869F22</t>
  </si>
  <si>
    <t>아웃렛박스, 커버, 4각, 평</t>
  </si>
  <si>
    <t>자재 27</t>
  </si>
  <si>
    <t>5732216A745D44DE631C9A2DC6B558C36A211B</t>
  </si>
  <si>
    <t>505B016424794B996FF06424F6D40C5732216A745D44DE631C9A2DC6B558C36A211B</t>
  </si>
  <si>
    <t>505B016424794B996FF06424F6D40C50C74160D719457B65AD7F2A23B3B54D7ED786</t>
  </si>
  <si>
    <t>단 가 대 비 표</t>
  </si>
  <si>
    <t>규격</t>
  </si>
  <si>
    <t>조달청가격</t>
  </si>
  <si>
    <t>PAGE</t>
  </si>
  <si>
    <t>거래가격</t>
  </si>
  <si>
    <t>유통물가</t>
  </si>
  <si>
    <t>물가자료</t>
  </si>
  <si>
    <t>물가정보</t>
  </si>
  <si>
    <t>적용단가</t>
  </si>
  <si>
    <t>품목구분</t>
  </si>
  <si>
    <t>노임구분</t>
  </si>
  <si>
    <t>소수점처리</t>
  </si>
  <si>
    <t>0000590100060000</t>
  </si>
  <si>
    <t>천원</t>
  </si>
  <si>
    <t>0000761105000000</t>
  </si>
  <si>
    <t>1214190420204089</t>
  </si>
  <si>
    <t>1451</t>
  </si>
  <si>
    <t>1190</t>
  </si>
  <si>
    <t>대기압상태기준</t>
  </si>
  <si>
    <t>1511150620204095</t>
  </si>
  <si>
    <t>2327181220080580</t>
  </si>
  <si>
    <t>1326</t>
  </si>
  <si>
    <t>1132</t>
  </si>
  <si>
    <t>2612162922076726</t>
  </si>
  <si>
    <t>993</t>
  </si>
  <si>
    <t>833</t>
  </si>
  <si>
    <t>2612162922076727</t>
  </si>
  <si>
    <t>2612164020684031</t>
  </si>
  <si>
    <t>998</t>
  </si>
  <si>
    <t>837</t>
  </si>
  <si>
    <t>3019160220140457</t>
  </si>
  <si>
    <t>167</t>
  </si>
  <si>
    <t>3019160220140477</t>
  </si>
  <si>
    <t>3019160220140479</t>
  </si>
  <si>
    <t>3019160220140482</t>
  </si>
  <si>
    <t>3019160220140483</t>
  </si>
  <si>
    <t>시중단가</t>
  </si>
  <si>
    <t>기존금액 110%</t>
  </si>
  <si>
    <t>3019160220140484</t>
  </si>
  <si>
    <t>3019160220140485</t>
  </si>
  <si>
    <t>3019160220140486</t>
  </si>
  <si>
    <t>3019160220140487</t>
  </si>
  <si>
    <t>3019160222330656</t>
  </si>
  <si>
    <t>3116180730003127</t>
  </si>
  <si>
    <t>견적단가</t>
  </si>
  <si>
    <t>3116180730003128</t>
  </si>
  <si>
    <t>가견적단</t>
  </si>
  <si>
    <t>3116180730005001</t>
  </si>
  <si>
    <t>1349</t>
  </si>
  <si>
    <t>790</t>
  </si>
  <si>
    <t>3116210220135754</t>
  </si>
  <si>
    <t>93</t>
  </si>
  <si>
    <t>53</t>
  </si>
  <si>
    <t>3116210220135755</t>
  </si>
  <si>
    <t>56</t>
  </si>
  <si>
    <t>42</t>
  </si>
  <si>
    <t>3911170920190954</t>
  </si>
  <si>
    <t>794</t>
  </si>
  <si>
    <t>3912110121650775</t>
  </si>
  <si>
    <t>1177</t>
  </si>
  <si>
    <t>757</t>
  </si>
  <si>
    <t>3912130810035753</t>
  </si>
  <si>
    <t>1020</t>
  </si>
  <si>
    <t>3912130820174713</t>
  </si>
  <si>
    <t>3912170520170621</t>
  </si>
  <si>
    <t>864</t>
  </si>
  <si>
    <t>1101</t>
  </si>
  <si>
    <t>1203</t>
  </si>
  <si>
    <t>3912170520170622</t>
  </si>
  <si>
    <t>3912170520170623</t>
  </si>
  <si>
    <t>3913170610034832</t>
  </si>
  <si>
    <t>1029</t>
  </si>
  <si>
    <t>3913170610034833</t>
  </si>
  <si>
    <t>3913170610034834</t>
  </si>
  <si>
    <t>3913170620174410</t>
  </si>
  <si>
    <t>1027</t>
  </si>
  <si>
    <t>4616158120191770</t>
  </si>
  <si>
    <t>C</t>
  </si>
  <si>
    <t>4617160620192442</t>
  </si>
  <si>
    <t>1196</t>
  </si>
  <si>
    <t>756</t>
  </si>
  <si>
    <t>4619150120192512</t>
  </si>
  <si>
    <t>1194</t>
  </si>
  <si>
    <t>758</t>
  </si>
  <si>
    <t>4619150120192523</t>
  </si>
  <si>
    <t>4619150520935677</t>
  </si>
  <si>
    <t>4619168630098016</t>
  </si>
  <si>
    <t>6350040131340010</t>
  </si>
  <si>
    <t>969</t>
  </si>
  <si>
    <t>6350040131340100</t>
  </si>
  <si>
    <t>656</t>
  </si>
  <si>
    <t>546</t>
  </si>
  <si>
    <t>6350040131340101</t>
  </si>
  <si>
    <t>L001010101000002</t>
  </si>
  <si>
    <t>B</t>
  </si>
  <si>
    <t>L001010101000003</t>
  </si>
  <si>
    <t>L001010101000006</t>
  </si>
  <si>
    <t>L001010101000009</t>
  </si>
  <si>
    <t>L001010101000012</t>
  </si>
  <si>
    <t>L001010101000015</t>
  </si>
  <si>
    <t>L001010101000023</t>
  </si>
  <si>
    <t>L001010101000039</t>
  </si>
  <si>
    <t>L001010101000075</t>
  </si>
  <si>
    <t>L001010101000078</t>
  </si>
  <si>
    <t>XL40000000000004</t>
  </si>
  <si>
    <t>1369</t>
  </si>
  <si>
    <t>XL40000000000005</t>
  </si>
  <si>
    <t>XL40000000000006</t>
  </si>
  <si>
    <t>XL40000000000007</t>
  </si>
  <si>
    <t>XL40000000000008</t>
  </si>
  <si>
    <t>XL40000000000009</t>
  </si>
  <si>
    <t>XL40000000000010</t>
  </si>
  <si>
    <t>XL40000000000011</t>
  </si>
  <si>
    <t>XL40000000000012</t>
  </si>
  <si>
    <t>XL40000000000013</t>
  </si>
  <si>
    <t>XL40000000000014</t>
  </si>
  <si>
    <t>XL40000000000015</t>
  </si>
  <si>
    <t>XL40000000000016</t>
  </si>
  <si>
    <t>XL40000000000017</t>
  </si>
  <si>
    <t>XL40000000000018</t>
  </si>
  <si>
    <t>XL40000000000019</t>
  </si>
  <si>
    <t>XL40000000000020</t>
  </si>
  <si>
    <t>XL40000000000021</t>
  </si>
  <si>
    <t>1372</t>
  </si>
  <si>
    <t>XL40000000000022</t>
  </si>
  <si>
    <t>XL40000000000023</t>
  </si>
  <si>
    <t>XL40000000000024</t>
  </si>
  <si>
    <t>663</t>
  </si>
  <si>
    <t>XL40000000000025</t>
  </si>
  <si>
    <t>XL40000000000026</t>
  </si>
  <si>
    <t>XL40000000000027</t>
  </si>
  <si>
    <t>XL40000000000028</t>
  </si>
  <si>
    <t>XL40000000000029</t>
  </si>
  <si>
    <t>XL40000000000030</t>
  </si>
  <si>
    <t>XL40000000000031</t>
  </si>
  <si>
    <t>XL40000000000032</t>
  </si>
  <si>
    <t>XL40000000000033</t>
  </si>
  <si>
    <t>XL40000000000034</t>
  </si>
  <si>
    <t>XL40000000000035</t>
  </si>
  <si>
    <t>XL40000000000036</t>
  </si>
  <si>
    <t>XL40000000000037</t>
  </si>
  <si>
    <t>670</t>
  </si>
  <si>
    <t>XL40000000000038</t>
  </si>
  <si>
    <t>XL40000000000039</t>
  </si>
  <si>
    <t>XL40000000000040</t>
  </si>
  <si>
    <t>XL40000000000041</t>
  </si>
  <si>
    <t>44</t>
  </si>
  <si>
    <t>XL40000000000042</t>
  </si>
  <si>
    <t>XL40000000000043</t>
  </si>
  <si>
    <t>XL40000000000044</t>
  </si>
  <si>
    <t>XL40000000000045</t>
  </si>
  <si>
    <t>XL40000000000046</t>
  </si>
  <si>
    <t>501</t>
  </si>
  <si>
    <t>XL40000000000047</t>
  </si>
  <si>
    <t>5</t>
  </si>
  <si>
    <t>XL40000000000048</t>
  </si>
  <si>
    <t>XL40000000000049</t>
  </si>
  <si>
    <t>1381</t>
  </si>
  <si>
    <t>XL40000000000050</t>
  </si>
  <si>
    <t>48</t>
  </si>
  <si>
    <t>XL40000000000051</t>
  </si>
  <si>
    <t>XL40000000000052</t>
  </si>
  <si>
    <t>XL40000000000053</t>
  </si>
  <si>
    <t>XL40000000000054</t>
  </si>
  <si>
    <t>XL40000000000055</t>
  </si>
  <si>
    <t>XL40000000000056</t>
  </si>
  <si>
    <t>966</t>
  </si>
  <si>
    <t>XL40000000000057</t>
  </si>
  <si>
    <t>XL40000000000058</t>
  </si>
  <si>
    <t>XL40000000000059</t>
  </si>
  <si>
    <t>XL40000000000060</t>
  </si>
  <si>
    <t>XL40000000000061</t>
  </si>
  <si>
    <t>715</t>
  </si>
  <si>
    <t>XL40000000000062</t>
  </si>
  <si>
    <t>XL40000000000063</t>
  </si>
  <si>
    <t>XL40000000000064</t>
  </si>
  <si>
    <t>XL40000000000065</t>
  </si>
  <si>
    <t>1202</t>
  </si>
  <si>
    <t>XL40000000000066</t>
  </si>
  <si>
    <t>XL40000000000067</t>
  </si>
  <si>
    <t>XL40000000000068</t>
  </si>
  <si>
    <t>수정</t>
  </si>
  <si>
    <t>XL40000000000069</t>
  </si>
  <si>
    <t>XL40000000000072</t>
  </si>
  <si>
    <t>XL40000000000073</t>
  </si>
  <si>
    <t>XL40000000000074</t>
  </si>
  <si>
    <t>XL40000000000075</t>
  </si>
  <si>
    <t>XL40000000000076</t>
  </si>
  <si>
    <t>XL40000000000078</t>
  </si>
  <si>
    <t>XL40000000000079</t>
  </si>
  <si>
    <t>XL40000000000080</t>
  </si>
  <si>
    <t>XL40000000000081</t>
  </si>
  <si>
    <t>XL40000000000082</t>
  </si>
  <si>
    <t>XL40000000000083</t>
  </si>
  <si>
    <t>XL40000000000084</t>
  </si>
  <si>
    <t>XL40000000000085</t>
  </si>
  <si>
    <t>XL40000000000086</t>
  </si>
  <si>
    <t>XL40000000000087</t>
  </si>
  <si>
    <t>공종명</t>
  </si>
  <si>
    <t>적용율(%)</t>
  </si>
  <si>
    <t>소수점이하자릿수</t>
  </si>
  <si>
    <t>공 량 산 출 근 거 서</t>
  </si>
  <si>
    <t>품 셈 목 록</t>
  </si>
  <si>
    <t>수  량</t>
  </si>
  <si>
    <t>노임할증-1</t>
  </si>
  <si>
    <t>노임할증-2</t>
  </si>
  <si>
    <t>노임할증-3</t>
  </si>
  <si>
    <t>내역수량</t>
  </si>
  <si>
    <t>직  종  명</t>
  </si>
  <si>
    <t>공  량</t>
  </si>
  <si>
    <t>계</t>
  </si>
  <si>
    <t>비    고</t>
  </si>
  <si>
    <t>01 소방전기설비공사</t>
  </si>
  <si>
    <t>02 할로겐소화약제설비공사</t>
  </si>
  <si>
    <t>03 철거공사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</si>
  <si>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</si>
  <si>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</si>
  <si>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</si>
  <si>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</si>
  <si>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</si>
  <si>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</si>
  <si>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</si>
  <si>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</si>
  <si>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</si>
  <si>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</si>
  <si>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</si>
  <si>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</si>
  <si>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</si>
  <si>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</si>
  <si>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</si>
  <si>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</si>
  <si>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</si>
  <si>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</si>
  <si>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</si>
  <si>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</si>
  <si>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</si>
  <si>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</si>
  <si>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</si>
  <si>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</si>
  <si>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</si>
  <si>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</si>
  <si>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</si>
  <si>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</si>
  <si>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</si>
  <si>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</si>
  <si>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</si>
  <si>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</si>
  <si>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</si>
  <si>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</si>
  <si>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</si>
  <si>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</si>
  <si>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C8</t>
  </si>
  <si>
    <t>퇴직  공제  부금비</t>
  </si>
  <si>
    <t>직접노무비 * 2.3%</t>
  </si>
  <si>
    <t>CA</t>
  </si>
  <si>
    <t>산업안전보건관리비</t>
  </si>
  <si>
    <t>(재료비+직노+관급자재비) * 2.07%</t>
  </si>
  <si>
    <t>CB</t>
  </si>
  <si>
    <t>노인장기요양보험료</t>
  </si>
  <si>
    <t>건강보험료 * 13.14%</t>
  </si>
  <si>
    <t>CG</t>
  </si>
  <si>
    <t>기   타    경   비</t>
  </si>
  <si>
    <t>(재료비+노무비) * 5%</t>
  </si>
  <si>
    <t>CH</t>
  </si>
  <si>
    <t>석 면 분 담 금</t>
  </si>
  <si>
    <t>노무비 * 0.006%</t>
  </si>
  <si>
    <t>CJ</t>
  </si>
  <si>
    <t>임금채권부담금</t>
  </si>
  <si>
    <t>노무비 * 0.09%</t>
  </si>
  <si>
    <t>CS</t>
  </si>
  <si>
    <t>S1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</si>
  <si>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</si>
  <si>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</si>
  <si>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</si>
  <si>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</si>
  <si>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</si>
  <si>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</si>
  <si>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D9</t>
  </si>
  <si>
    <t>DA</t>
  </si>
  <si>
    <t>소방시설공사업 배상책임공제</t>
  </si>
  <si>
    <t>DB</t>
  </si>
  <si>
    <t>부  가  가  치  세</t>
  </si>
  <si>
    <t>DH</t>
  </si>
  <si>
    <t>도      급      액</t>
  </si>
  <si>
    <t>S2</t>
  </si>
  <si>
    <t>총   공   사    비</t>
  </si>
  <si>
    <t>이 Sheet는 수정하지 마십시요</t>
  </si>
  <si>
    <t>공사구분</t>
  </si>
  <si>
    <t>D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</si>
  <si>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</si>
  <si>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</si>
  <si>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</si>
  <si>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</si>
  <si>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</si>
  <si>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</si>
  <si>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</si>
  <si>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</si>
  <si>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</si>
  <si>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</si>
  <si>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</si>
  <si>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</si>
  <si>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</si>
  <si>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</si>
  <si>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</si>
  <si>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</si>
  <si>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</si>
  <si>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</si>
  <si>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</si>
  <si>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</si>
  <si>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</si>
  <si>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</si>
  <si>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</si>
  <si>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</si>
  <si>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</si>
  <si>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</si>
  <si>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</si>
  <si>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</si>
  <si>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</si>
  <si>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</si>
  <si>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</si>
  <si>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</si>
  <si>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</si>
  <si>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</si>
  <si>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</si>
  <si>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</si>
  <si>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...</t>
  </si>
  <si>
    <t>....</t>
  </si>
  <si>
    <t>.....</t>
  </si>
  <si>
    <t>E</t>
  </si>
  <si>
    <t>G</t>
  </si>
  <si>
    <t>H</t>
  </si>
  <si>
    <t>I</t>
  </si>
  <si>
    <t>J</t>
  </si>
  <si>
    <t>HFIX, 1.38㎜ (할증분 10%)</t>
    <phoneticPr fontId="1" type="noConversion"/>
  </si>
  <si>
    <t>5CCC1661AF458C812A3F15CAC2BBA9127DABFD</t>
  </si>
  <si>
    <t>전기품셈 5-10</t>
  </si>
  <si>
    <t>5B2B76BCAD9523E5283B85766C2F0932DA19ED</t>
  </si>
  <si>
    <t>01015CCC1661AF458C812A3F15CAC2BBA9127DABFD</t>
  </si>
  <si>
    <t>5CCC1661AF458C812A3F15CAC2BBA9127DABFC</t>
  </si>
  <si>
    <t>01015CCC1661AF458C812A3F15CAC2BBA9127DABFC</t>
  </si>
  <si>
    <t>5CCC1661AF458C812C3A65D6FD1529F3EFAEC3</t>
  </si>
  <si>
    <t>전기품셈 5-13</t>
  </si>
  <si>
    <t>5B2B76BCAD9523E5283B85766C2F0932DA19E0</t>
  </si>
  <si>
    <t>01015CCC1661AF458C812C3A65D6FD1529F3EFAEC3</t>
  </si>
  <si>
    <t>5CDE46AE932572682F34A5F36DA8E51F336D32</t>
  </si>
  <si>
    <t>전기품셈 5-1</t>
  </si>
  <si>
    <t>01015CDE46AE932572682F34A5F36DA8E51F336D32</t>
  </si>
  <si>
    <t>5CDE46AE932572682F34A5F36DA8E51F336D33</t>
  </si>
  <si>
    <t>01015CDE46AE932572682F34A5F36DA8E51F336D33</t>
  </si>
  <si>
    <t>5CDE46AE932572682F34A5F36DA8E51F336D34</t>
  </si>
  <si>
    <t>01015CDE46AE932572682F34A5F36DA8E51F336D34</t>
  </si>
  <si>
    <t>5CDE46AE932572682F34A5F099CBF4809F7F28</t>
  </si>
  <si>
    <t>01015CDE46AE932572682F34A5F099CBF4809F7F28</t>
  </si>
  <si>
    <t>5CDE46AE9215E036283E359715711AE019F57F</t>
  </si>
  <si>
    <t>01015CDE46AE9215E036283E359715711AE019F57F</t>
  </si>
  <si>
    <t>5CDE46AE9215E01B2B32555A934519B002A194</t>
  </si>
  <si>
    <t>전기품셈 5-3</t>
  </si>
  <si>
    <t>01015CDE46AE9215E01B2B32555A934519B002A194</t>
  </si>
  <si>
    <t>5CA1F6F7844559B22F3DF5B48F1657AD4E6581</t>
  </si>
  <si>
    <t>표준품셈 10-2-5</t>
  </si>
  <si>
    <t>01015CA1F6F7844559B22F3DF5B48F1657AD4E6581</t>
  </si>
  <si>
    <t>5CA1F6F78AE5CF7327359515CE2379E6A834BC</t>
  </si>
  <si>
    <t>전기품셈 10-2-1</t>
  </si>
  <si>
    <t>01015CA1F6F78AE5CF7327359515CE2379E6A834BC</t>
  </si>
  <si>
    <t>5CA1F6F78AE5CF7327359515CE2379E6A83770</t>
  </si>
  <si>
    <t>01015CA1F6F78AE5CF7327359515CE2379E6A83770</t>
  </si>
  <si>
    <t>5CA1F6F78AE5CF732735D5F05D94C56A88C6AA</t>
  </si>
  <si>
    <t>01015CA1F6F78AE5CF732735D5F05D94C56A88C6AA</t>
  </si>
  <si>
    <t>5C86F668BEE5F52D233C8595FF2F88B7AE3801</t>
  </si>
  <si>
    <t>전기10-2-7</t>
  </si>
  <si>
    <t>01015C86F668BEE5F52D233C8595FF2F88B7AE3801</t>
  </si>
  <si>
    <t>5CA1F6F78AE5CF7327359515CE2379E6A83777</t>
  </si>
  <si>
    <t>화재감지기철거</t>
  </si>
  <si>
    <t>전기품셈 10-2-5</t>
  </si>
  <si>
    <t>01015CA1F6F78AE5CF7327359515CE2379E6A83777</t>
  </si>
  <si>
    <t>5CA1F6F78AE5CF7327359515CE2379E6A83776</t>
  </si>
  <si>
    <t>전자싸이렌철거</t>
  </si>
  <si>
    <t>01015CA1F6F78AE5CF7327359515CE2379E6A83776</t>
  </si>
  <si>
    <t>01015B2B76BCAD9523E5283B85766C2F0932DA19ED</t>
  </si>
  <si>
    <t>01015B2B76BCAD9523E5283B85766C2F0932DA19E0</t>
  </si>
  <si>
    <t>HFIX, 1.78㎜(할증분 10%)</t>
    <phoneticPr fontId="1" type="noConversion"/>
  </si>
  <si>
    <t>공구손료</t>
    <phoneticPr fontId="1" type="noConversion"/>
  </si>
  <si>
    <t>노무비의 3%</t>
    <phoneticPr fontId="1" type="noConversion"/>
  </si>
  <si>
    <t>식</t>
    <phoneticPr fontId="1" type="noConversion"/>
  </si>
  <si>
    <t>3C*2.5㎟ (할증분 5%)</t>
    <phoneticPr fontId="1" type="noConversion"/>
  </si>
  <si>
    <t>아연도  16 mm(할증분 10%)</t>
    <phoneticPr fontId="1" type="noConversion"/>
  </si>
  <si>
    <t>아연도  22 mm(할증분 10%)</t>
    <phoneticPr fontId="1" type="noConversion"/>
  </si>
  <si>
    <t>아연도  28 mm(할증분 10%)</t>
    <phoneticPr fontId="1" type="noConversion"/>
  </si>
  <si>
    <t>16 mm 비방수(할증분 10%)</t>
    <phoneticPr fontId="1" type="noConversion"/>
  </si>
  <si>
    <t>kg/m</t>
    <phoneticPr fontId="1" type="noConversion"/>
  </si>
  <si>
    <t>산   출   서</t>
  </si>
  <si>
    <t xml:space="preserve">  소방전기설비공사 소방전기설비공사 지하1층 소방간선설비 평면도 - EF - 09 - B1F[1EA]</t>
  </si>
  <si>
    <t>회로명</t>
  </si>
  <si>
    <t>산 출 명 칭</t>
  </si>
  <si>
    <t>산  출  식</t>
  </si>
  <si>
    <t>물 량</t>
  </si>
  <si>
    <t>재료코드</t>
  </si>
  <si>
    <t>품        명</t>
  </si>
  <si>
    <t>규        격</t>
  </si>
  <si>
    <t>가닥수</t>
  </si>
  <si>
    <t>산 출 식</t>
  </si>
  <si>
    <t>합 계</t>
  </si>
  <si>
    <t>도면명</t>
  </si>
  <si>
    <t>도면번호</t>
  </si>
  <si>
    <t>층명</t>
  </si>
  <si>
    <t>[자동폐쇄장치 간선]</t>
  </si>
  <si>
    <t>방화문 -&gt; 전원반</t>
  </si>
  <si>
    <t>HFIX 1.78mm X 5C (ST 22C)</t>
  </si>
  <si>
    <t>6+5+2+3+2+5+2+5+2+7+15</t>
  </si>
  <si>
    <t>EEA201110021</t>
  </si>
  <si>
    <t>54</t>
  </si>
  <si>
    <t>지하1층 소방간선설비 평면도</t>
  </si>
  <si>
    <t>EF - 09</t>
  </si>
  <si>
    <t>B1F</t>
  </si>
  <si>
    <t>EEA108010020</t>
  </si>
  <si>
    <t>54/1.5</t>
  </si>
  <si>
    <t>EEA104010020</t>
  </si>
  <si>
    <t>창문 -&gt; 전원반</t>
  </si>
  <si>
    <t>3+7+20+15</t>
  </si>
  <si>
    <t>45</t>
  </si>
  <si>
    <t>45/1.5</t>
  </si>
  <si>
    <t>반자-&gt;기구</t>
  </si>
  <si>
    <t>2.5*12</t>
  </si>
  <si>
    <t>30</t>
  </si>
  <si>
    <t>30/1.5</t>
  </si>
  <si>
    <t>[모듈러 간선]</t>
  </si>
  <si>
    <t>모듈러-&gt;수동조작함</t>
  </si>
  <si>
    <t>HFIX 1.78mm X 4C (ST 22C)</t>
  </si>
  <si>
    <t>5+3+4+3+1+3+6+3+4+3+1+3</t>
  </si>
  <si>
    <t>39</t>
  </si>
  <si>
    <t>39/1.5</t>
  </si>
  <si>
    <t>[소방기구산출]</t>
  </si>
  <si>
    <t>2</t>
  </si>
  <si>
    <t>EEB401030069</t>
  </si>
  <si>
    <t>10</t>
  </si>
  <si>
    <t>EEB401030070</t>
  </si>
  <si>
    <t>배관용 구멍뚫기(코어드릴)-Con,c 두께30cm이하 Ø25mm</t>
  </si>
  <si>
    <t>8</t>
  </si>
  <si>
    <t>EE2902020310</t>
  </si>
  <si>
    <t>1</t>
  </si>
  <si>
    <t>걸이대 설치(생명줄포함)</t>
  </si>
  <si>
    <t>6+2+4+2+2</t>
  </si>
  <si>
    <t>EEB401040313</t>
  </si>
  <si>
    <t>조</t>
  </si>
  <si>
    <t>16</t>
  </si>
  <si>
    <t>철거자재 운반비</t>
  </si>
  <si>
    <t>화물트럭 운반비 1TON 기준</t>
  </si>
  <si>
    <t>[기구철거]</t>
  </si>
  <si>
    <t>10+10</t>
  </si>
  <si>
    <t>EEB401010060</t>
  </si>
  <si>
    <t>20</t>
  </si>
  <si>
    <t>6</t>
  </si>
  <si>
    <t>EEB401010089</t>
  </si>
  <si>
    <t>철거 배관 마감</t>
  </si>
  <si>
    <t>5+2+3</t>
  </si>
  <si>
    <t xml:space="preserve">  소방전기설비공사 소방전기설비공사 지하1층 소방전기설비 평면도 - EF - 10 - B1F[1EA]</t>
  </si>
  <si>
    <t>[수신기 간선]</t>
  </si>
  <si>
    <t>가스수신기 -&gt; 메인</t>
  </si>
  <si>
    <t>HFIX 1.78mm X 2C (ST 16C)</t>
  </si>
  <si>
    <t>지하1층 소방전기설비 평면도</t>
  </si>
  <si>
    <t>EF - 10</t>
  </si>
  <si>
    <t>EEA108010010</t>
  </si>
  <si>
    <t>20/1.5</t>
  </si>
  <si>
    <t>EEA104010010</t>
  </si>
  <si>
    <t>가스수신기 -&gt; 부수신</t>
  </si>
  <si>
    <t>수신기 -&gt; 분전함</t>
  </si>
  <si>
    <t>내화전선 내화전선, 0.6/1kV, F-FR-8, 3C*2.5㎟</t>
  </si>
  <si>
    <t>EEA305030021</t>
  </si>
  <si>
    <t>[감지기 간선]</t>
  </si>
  <si>
    <t>반자-&gt;감지기</t>
  </si>
  <si>
    <t>HFIX 1.38mm X 4C (가요 16C)</t>
  </si>
  <si>
    <t>0.5*20</t>
  </si>
  <si>
    <t>EEA201110011</t>
  </si>
  <si>
    <t>EEA105020400</t>
  </si>
  <si>
    <t>[전자싸이렌 간선]</t>
  </si>
  <si>
    <t>수동조작함&gt;싸이렌</t>
  </si>
  <si>
    <t>0.5*6</t>
  </si>
  <si>
    <t>3</t>
  </si>
  <si>
    <t>3/1.5</t>
  </si>
  <si>
    <t>[수동조작함 간선]</t>
  </si>
  <si>
    <t>창고-&gt;밧데리실</t>
  </si>
  <si>
    <t>HFIX 1.78mm X 8C (ST 28C)</t>
  </si>
  <si>
    <t>3+7+3</t>
  </si>
  <si>
    <t>13</t>
  </si>
  <si>
    <t>EEA108010030</t>
  </si>
  <si>
    <t>13/1.5</t>
  </si>
  <si>
    <t>EEA104010030</t>
  </si>
  <si>
    <t>밧데리실-&gt;발전기실</t>
  </si>
  <si>
    <t>HFIX 1.78mm X 13C (ST 28,22C)</t>
  </si>
  <si>
    <t>3+6+3</t>
  </si>
  <si>
    <t>12</t>
  </si>
  <si>
    <t>12/1.5</t>
  </si>
  <si>
    <t>발전기실-&gt;UPS</t>
  </si>
  <si>
    <t>HFIX 1.78mm X 18C (ST 28C)</t>
  </si>
  <si>
    <t>3+5+3</t>
  </si>
  <si>
    <t>11</t>
  </si>
  <si>
    <t>11/1.5</t>
  </si>
  <si>
    <t>UPS-&gt;전자기계실</t>
  </si>
  <si>
    <t>HFIX 1.78mm X 23C (ST 28,22C)</t>
  </si>
  <si>
    <t>전자기계실-&gt;수신기</t>
  </si>
  <si>
    <t>HFIX 1.78mm X 28C (ST 28C)</t>
  </si>
  <si>
    <t>3+10+3</t>
  </si>
  <si>
    <t>16/1.5</t>
  </si>
  <si>
    <t>전기실-&gt;수신기</t>
  </si>
  <si>
    <t>3+4+3</t>
  </si>
  <si>
    <t>10/1.5</t>
  </si>
  <si>
    <t>[냉난방기 간선]</t>
  </si>
  <si>
    <t>냉난방기 차단</t>
  </si>
  <si>
    <t>3+20</t>
  </si>
  <si>
    <t>23</t>
  </si>
  <si>
    <t>23/1.5</t>
  </si>
  <si>
    <t>EEB401040288</t>
  </si>
  <si>
    <t>EEA904010139</t>
  </si>
  <si>
    <t>전자사이렌 설치 DC 24V</t>
  </si>
  <si>
    <t>EEB401020090</t>
  </si>
  <si>
    <t>EEB912000220</t>
  </si>
  <si>
    <t>차동식감지기</t>
  </si>
  <si>
    <t>화재감지기 열감지기,차동식스포트형</t>
  </si>
  <si>
    <t>EEB401010010</t>
  </si>
  <si>
    <t>화재감지기 연기감지기,광전식2종-비축적</t>
  </si>
  <si>
    <t>EEB401010044</t>
  </si>
  <si>
    <t>잡철물설치(철제) 간단</t>
  </si>
  <si>
    <t>36</t>
  </si>
  <si>
    <t>AJM100101000</t>
  </si>
  <si>
    <t>4</t>
  </si>
  <si>
    <t>AAA310442010</t>
  </si>
  <si>
    <t>발전기실 관통부</t>
  </si>
  <si>
    <t>2+2</t>
  </si>
  <si>
    <t>EEB401040013</t>
  </si>
  <si>
    <t>EEB401040014</t>
  </si>
  <si>
    <t>방화실리콘 실란트 300ml</t>
  </si>
  <si>
    <t xml:space="preserve">  소방전기설비공사 소방전기설비공사 지상1층 소방전기설비 평면도 - EF - 201 - 1F[1EA]</t>
  </si>
  <si>
    <t>경비실 부수신기 재결</t>
  </si>
  <si>
    <t>경비실 부수신기 재결선 지하층 2구역 철거 및 지하수신기 1구역</t>
  </si>
  <si>
    <t>EEB401040011</t>
  </si>
  <si>
    <t>지상1층 소방전기설비 평면도</t>
  </si>
  <si>
    <t>EF - 201</t>
  </si>
  <si>
    <t>1F</t>
  </si>
  <si>
    <t xml:space="preserve">  소방전기설비공사 소방전기설비공사 지상2층 소방전기설비 평면도 - EF - 201 - 2F[1EA]</t>
  </si>
  <si>
    <t>EEB401040012</t>
  </si>
  <si>
    <t>지상2층 소방전기설비 평면도</t>
  </si>
  <si>
    <t>2F</t>
  </si>
  <si>
    <t>천정철거 후 재설치</t>
  </si>
  <si>
    <t>9.72</t>
  </si>
  <si>
    <t>AQA123150000</t>
  </si>
  <si>
    <t>30+3</t>
  </si>
  <si>
    <t>33</t>
  </si>
  <si>
    <t>33/1.5</t>
  </si>
  <si>
    <t>전원반 자동폐쇄장치전원반, 15A</t>
  </si>
  <si>
    <t>EEB401040360</t>
  </si>
  <si>
    <t>산 출 조 사 서</t>
    <phoneticPr fontId="10" type="noConversion"/>
  </si>
  <si>
    <t>FROM(위치)</t>
  </si>
  <si>
    <t>TO(위치)</t>
  </si>
  <si>
    <t>산출근거</t>
    <phoneticPr fontId="1" type="noConversion"/>
  </si>
  <si>
    <t>계</t>
    <phoneticPr fontId="1" type="noConversion"/>
  </si>
  <si>
    <t>할 증</t>
    <phoneticPr fontId="1" type="noConversion"/>
  </si>
  <si>
    <t>할증률</t>
    <phoneticPr fontId="1" type="noConversion"/>
  </si>
  <si>
    <t>총 계</t>
    <phoneticPr fontId="1" type="noConversion"/>
  </si>
  <si>
    <t>전기실</t>
    <phoneticPr fontId="1" type="noConversion"/>
  </si>
  <si>
    <t>AnyFire(FK-5-1-12) 모듈러</t>
    <phoneticPr fontId="1" type="noConversion"/>
  </si>
  <si>
    <t>82.5L/90KG/2BT</t>
    <phoneticPr fontId="1" type="noConversion"/>
  </si>
  <si>
    <t>SET</t>
    <phoneticPr fontId="1" type="noConversion"/>
  </si>
  <si>
    <t>AnyFire(FK-5-1-12) 모듈러</t>
    <phoneticPr fontId="1" type="noConversion"/>
  </si>
  <si>
    <t>82.5L/80KG/2BT</t>
    <phoneticPr fontId="1" type="noConversion"/>
  </si>
  <si>
    <t>SET</t>
    <phoneticPr fontId="1" type="noConversion"/>
  </si>
  <si>
    <t>1+1+1+1</t>
    <phoneticPr fontId="1" type="noConversion"/>
  </si>
  <si>
    <t>82.5L/70KG/2BT</t>
    <phoneticPr fontId="1" type="noConversion"/>
  </si>
  <si>
    <t>82.5L/70KG/1BT</t>
    <phoneticPr fontId="1" type="noConversion"/>
  </si>
  <si>
    <t>82.5L/60KG/1BT</t>
    <phoneticPr fontId="1" type="noConversion"/>
  </si>
  <si>
    <t>솔레노이드밸브</t>
    <phoneticPr fontId="1" type="noConversion"/>
  </si>
  <si>
    <t>DC-24V</t>
    <phoneticPr fontId="1" type="noConversion"/>
  </si>
  <si>
    <t>EA</t>
    <phoneticPr fontId="1" type="noConversion"/>
  </si>
  <si>
    <t>EA</t>
    <phoneticPr fontId="1" type="noConversion"/>
  </si>
  <si>
    <t>니들밸브</t>
    <phoneticPr fontId="1" type="noConversion"/>
  </si>
  <si>
    <t>6A</t>
    <phoneticPr fontId="1" type="noConversion"/>
  </si>
  <si>
    <t>1+1+1+1+1+1+1</t>
    <phoneticPr fontId="1" type="noConversion"/>
  </si>
  <si>
    <t>수량증가</t>
    <phoneticPr fontId="1" type="noConversion"/>
  </si>
  <si>
    <t>내진가대(기본형)</t>
    <phoneticPr fontId="1" type="noConversion"/>
  </si>
  <si>
    <t>모듈러 -2BT</t>
    <phoneticPr fontId="1" type="noConversion"/>
  </si>
  <si>
    <t>모듈러 -1BT</t>
    <phoneticPr fontId="1" type="noConversion"/>
  </si>
  <si>
    <t>FK-5-1-12 Nozzle(360˚)</t>
    <phoneticPr fontId="1" type="noConversion"/>
  </si>
  <si>
    <t>50A</t>
    <phoneticPr fontId="1" type="noConversion"/>
  </si>
  <si>
    <t>1+1</t>
    <phoneticPr fontId="1" type="noConversion"/>
  </si>
  <si>
    <t>FK-5-1-12 Nozzle(180˚)</t>
    <phoneticPr fontId="1" type="noConversion"/>
  </si>
  <si>
    <t>40A</t>
    <phoneticPr fontId="1" type="noConversion"/>
  </si>
  <si>
    <t>과(부)압배출구 (성능인증품)</t>
    <phoneticPr fontId="1" type="noConversion"/>
  </si>
  <si>
    <t>600X600mm</t>
    <phoneticPr fontId="1" type="noConversion"/>
  </si>
  <si>
    <t>400X400mm</t>
    <phoneticPr fontId="1" type="noConversion"/>
  </si>
  <si>
    <t>300X300mm</t>
    <phoneticPr fontId="1" type="noConversion"/>
  </si>
  <si>
    <t>과(부)압배출구 (성능인증품)</t>
    <phoneticPr fontId="1" type="noConversion"/>
  </si>
  <si>
    <t>200X200mm</t>
    <phoneticPr fontId="1" type="noConversion"/>
  </si>
  <si>
    <t>EA</t>
    <phoneticPr fontId="1" type="noConversion"/>
  </si>
  <si>
    <t>구역명판</t>
    <phoneticPr fontId="1" type="noConversion"/>
  </si>
  <si>
    <t>FOMAX</t>
    <phoneticPr fontId="1" type="noConversion"/>
  </si>
  <si>
    <t>수동복구함 부착 1</t>
    <phoneticPr fontId="1" type="noConversion"/>
  </si>
  <si>
    <t>작동설명판</t>
    <phoneticPr fontId="1" type="noConversion"/>
  </si>
  <si>
    <t>작동설명판 1</t>
    <phoneticPr fontId="1" type="noConversion"/>
  </si>
  <si>
    <t>방호구역도</t>
    <phoneticPr fontId="1" type="noConversion"/>
  </si>
  <si>
    <t>전체 방호구역도 1</t>
    <phoneticPr fontId="1" type="noConversion"/>
  </si>
  <si>
    <t>KSD-3562 SCH40(백관)</t>
    <phoneticPr fontId="1" type="noConversion"/>
  </si>
  <si>
    <t>100A</t>
    <phoneticPr fontId="1" type="noConversion"/>
  </si>
  <si>
    <t>2.58+0.3+1.45+3.3+3.2+5.4</t>
    <phoneticPr fontId="1" type="noConversion"/>
  </si>
  <si>
    <t>KSD-3562 SCH40(백관)</t>
    <phoneticPr fontId="1" type="noConversion"/>
  </si>
  <si>
    <t>3+3</t>
    <phoneticPr fontId="1" type="noConversion"/>
  </si>
  <si>
    <t>(0.15+0.5+0.6+2.3+2.8+0.2)*2</t>
    <phoneticPr fontId="1" type="noConversion"/>
  </si>
  <si>
    <t>0.3*8</t>
    <phoneticPr fontId="1" type="noConversion"/>
  </si>
  <si>
    <t>SCH40 그루브 관이음쇠</t>
    <phoneticPr fontId="1" type="noConversion"/>
  </si>
  <si>
    <t>엘보 , 100A</t>
    <phoneticPr fontId="1" type="noConversion"/>
  </si>
  <si>
    <t>1+1+1+1+1</t>
    <phoneticPr fontId="1" type="noConversion"/>
  </si>
  <si>
    <t>SCH40 그루브 관이음쇠</t>
    <phoneticPr fontId="1" type="noConversion"/>
  </si>
  <si>
    <t>TEE , 100A</t>
    <phoneticPr fontId="1" type="noConversion"/>
  </si>
  <si>
    <t>TEE , 65A</t>
    <phoneticPr fontId="1" type="noConversion"/>
  </si>
  <si>
    <t>R/S , 100x65</t>
    <phoneticPr fontId="1" type="noConversion"/>
  </si>
  <si>
    <t>R/S , 100x40</t>
    <phoneticPr fontId="1" type="noConversion"/>
  </si>
  <si>
    <t>R/S , 65x50</t>
    <phoneticPr fontId="1" type="noConversion"/>
  </si>
  <si>
    <t>2+2</t>
    <phoneticPr fontId="1" type="noConversion"/>
  </si>
  <si>
    <t>플렉시블 커플링(그루브)</t>
    <phoneticPr fontId="1" type="noConversion"/>
  </si>
  <si>
    <t>유동식 , 100A</t>
    <phoneticPr fontId="1" type="noConversion"/>
  </si>
  <si>
    <t>(5*2)+(1*3)+1+1</t>
    <phoneticPr fontId="1" type="noConversion"/>
  </si>
  <si>
    <t>유동식 , 65A</t>
    <phoneticPr fontId="1" type="noConversion"/>
  </si>
  <si>
    <t>(2*3)+1+4</t>
    <phoneticPr fontId="1" type="noConversion"/>
  </si>
  <si>
    <t>유동식 , 50A</t>
    <phoneticPr fontId="1" type="noConversion"/>
  </si>
  <si>
    <t>2+2</t>
    <phoneticPr fontId="1" type="noConversion"/>
  </si>
  <si>
    <t>일반단조관이음쇠</t>
    <phoneticPr fontId="1" type="noConversion"/>
  </si>
  <si>
    <t>90엘보, 나사식 , 50A</t>
    <phoneticPr fontId="1" type="noConversion"/>
  </si>
  <si>
    <t>4*2</t>
    <phoneticPr fontId="1" type="noConversion"/>
  </si>
  <si>
    <t>90엘보, 나사식 , 40A</t>
    <phoneticPr fontId="1" type="noConversion"/>
  </si>
  <si>
    <t>일반단조관이음쇠</t>
    <phoneticPr fontId="1" type="noConversion"/>
  </si>
  <si>
    <t>TEE , 나사식 , 50x40</t>
    <phoneticPr fontId="1" type="noConversion"/>
  </si>
  <si>
    <t>R/S , 나사식 , 50x40</t>
    <phoneticPr fontId="1" type="noConversion"/>
  </si>
  <si>
    <t>U볼트,너트</t>
    <phoneticPr fontId="1" type="noConversion"/>
  </si>
  <si>
    <t>100A</t>
    <phoneticPr fontId="1" type="noConversion"/>
  </si>
  <si>
    <t>1+1+1+1</t>
    <phoneticPr fontId="1" type="noConversion"/>
  </si>
  <si>
    <t>65A</t>
    <phoneticPr fontId="1" type="noConversion"/>
  </si>
  <si>
    <t>1+1</t>
    <phoneticPr fontId="1" type="noConversion"/>
  </si>
  <si>
    <t>50A</t>
    <phoneticPr fontId="1" type="noConversion"/>
  </si>
  <si>
    <t>U볼트,너트</t>
    <phoneticPr fontId="1" type="noConversion"/>
  </si>
  <si>
    <t>인서트플레이트</t>
    <phoneticPr fontId="1" type="noConversion"/>
  </si>
  <si>
    <t>150x150x6T</t>
    <phoneticPr fontId="1" type="noConversion"/>
  </si>
  <si>
    <t>개소</t>
    <phoneticPr fontId="1" type="noConversion"/>
  </si>
  <si>
    <t>(4+2+6)*2</t>
    <phoneticPr fontId="1" type="noConversion"/>
  </si>
  <si>
    <t>조합페인트</t>
    <phoneticPr fontId="1" type="noConversion"/>
  </si>
  <si>
    <t>2 piece</t>
    <phoneticPr fontId="1" type="noConversion"/>
  </si>
  <si>
    <t>(0.359*16.2)+(0.24*6)+(0.19*13.1)+(0.153*2.4)</t>
    <phoneticPr fontId="1" type="noConversion"/>
  </si>
  <si>
    <t>ㄱ형강</t>
    <phoneticPr fontId="1" type="noConversion"/>
  </si>
  <si>
    <t>50x50x6T</t>
    <phoneticPr fontId="1" type="noConversion"/>
  </si>
  <si>
    <t>M</t>
    <phoneticPr fontId="1" type="noConversion"/>
  </si>
  <si>
    <t>(0.9+0.9+0.3)*12</t>
    <phoneticPr fontId="1" type="noConversion"/>
  </si>
  <si>
    <t>잡철물제작설치</t>
    <phoneticPr fontId="1" type="noConversion"/>
  </si>
  <si>
    <t>간단</t>
    <phoneticPr fontId="1" type="noConversion"/>
  </si>
  <si>
    <t>TON</t>
    <phoneticPr fontId="1" type="noConversion"/>
  </si>
  <si>
    <t>25.2/1000ton</t>
    <phoneticPr fontId="1" type="noConversion"/>
  </si>
  <si>
    <t>합계서식변경(수량감소)</t>
    <phoneticPr fontId="1" type="noConversion"/>
  </si>
  <si>
    <t>내진앙카볼트</t>
    <phoneticPr fontId="1" type="noConversion"/>
  </si>
  <si>
    <t>M12</t>
    <phoneticPr fontId="1" type="noConversion"/>
  </si>
  <si>
    <t>모듈러내진함 4개소 각 4개</t>
    <phoneticPr fontId="1" type="noConversion"/>
  </si>
  <si>
    <t>셋트앙카볼트</t>
    <phoneticPr fontId="1" type="noConversion"/>
  </si>
  <si>
    <t xml:space="preserve">	3/8×70(9×70)</t>
    <phoneticPr fontId="1" type="noConversion"/>
  </si>
  <si>
    <t>24*4</t>
    <phoneticPr fontId="1" type="noConversion"/>
  </si>
  <si>
    <t>벽체타공(과압배출구설치)</t>
    <phoneticPr fontId="1" type="noConversion"/>
  </si>
  <si>
    <t>600mm</t>
    <phoneticPr fontId="1" type="noConversion"/>
  </si>
  <si>
    <t>400mm</t>
    <phoneticPr fontId="1" type="noConversion"/>
  </si>
  <si>
    <t>300mm</t>
    <phoneticPr fontId="1" type="noConversion"/>
  </si>
  <si>
    <t>200mm</t>
    <phoneticPr fontId="1" type="noConversion"/>
  </si>
  <si>
    <t>200mm</t>
    <phoneticPr fontId="1" type="noConversion"/>
  </si>
  <si>
    <t>제품검사비(설계심사)</t>
    <phoneticPr fontId="1" type="noConversion"/>
  </si>
  <si>
    <t>1구역</t>
    <phoneticPr fontId="1" type="noConversion"/>
  </si>
  <si>
    <t>회</t>
    <phoneticPr fontId="1" type="noConversion"/>
  </si>
  <si>
    <t>피스톤릴리즈댐퍼</t>
    <phoneticPr fontId="1" type="noConversion"/>
  </si>
  <si>
    <t>(STL)특수각형댐퍼,상대익형날개</t>
    <phoneticPr fontId="1" type="noConversion"/>
  </si>
  <si>
    <t>㎠</t>
    <phoneticPr fontId="1" type="noConversion"/>
  </si>
  <si>
    <t>((70*20)*2)+((30*20)*2)+((70*20)*2)+((40*20)*2)</t>
    <phoneticPr fontId="1" type="noConversion"/>
  </si>
  <si>
    <t>피스톤릴리즈</t>
    <phoneticPr fontId="1" type="noConversion"/>
  </si>
  <si>
    <t>피스톤릴리즈</t>
    <phoneticPr fontId="1" type="noConversion"/>
  </si>
  <si>
    <t>일반피스톤</t>
    <phoneticPr fontId="1" type="noConversion"/>
  </si>
  <si>
    <t>개</t>
    <phoneticPr fontId="1" type="noConversion"/>
  </si>
  <si>
    <t>동관</t>
    <phoneticPr fontId="1" type="noConversion"/>
  </si>
  <si>
    <t>m</t>
    <phoneticPr fontId="1" type="noConversion"/>
  </si>
  <si>
    <t>1+1+12+1+1.5+2.1+3.5(H)</t>
    <phoneticPr fontId="1" type="noConversion"/>
  </si>
  <si>
    <t>동체크밸브</t>
    <phoneticPr fontId="1" type="noConversion"/>
  </si>
  <si>
    <t>6A</t>
    <phoneticPr fontId="1" type="noConversion"/>
  </si>
  <si>
    <t>동티</t>
    <phoneticPr fontId="1" type="noConversion"/>
  </si>
  <si>
    <t>동소켓</t>
    <phoneticPr fontId="1" type="noConversion"/>
  </si>
  <si>
    <t>EA</t>
    <phoneticPr fontId="1" type="noConversion"/>
  </si>
  <si>
    <t>1+1</t>
    <phoneticPr fontId="1" type="noConversion"/>
  </si>
  <si>
    <t>단조소켓</t>
    <phoneticPr fontId="1" type="noConversion"/>
  </si>
  <si>
    <t>15A</t>
    <phoneticPr fontId="1" type="noConversion"/>
  </si>
  <si>
    <t>동어댑터</t>
    <phoneticPr fontId="1" type="noConversion"/>
  </si>
  <si>
    <t>15A x 6A</t>
    <phoneticPr fontId="1" type="noConversion"/>
  </si>
  <si>
    <t>수동복구함</t>
    <phoneticPr fontId="1" type="noConversion"/>
  </si>
  <si>
    <t>가스압식</t>
    <phoneticPr fontId="1" type="noConversion"/>
  </si>
  <si>
    <t>스틸전선관</t>
    <phoneticPr fontId="1" type="noConversion"/>
  </si>
  <si>
    <t>16C</t>
    <phoneticPr fontId="1" type="noConversion"/>
  </si>
  <si>
    <t>3.5(H)-수동복구함 연결 노출부</t>
    <phoneticPr fontId="1" type="noConversion"/>
  </si>
  <si>
    <t>양새들</t>
    <phoneticPr fontId="1" type="noConversion"/>
  </si>
  <si>
    <t>16C</t>
    <phoneticPr fontId="1" type="noConversion"/>
  </si>
  <si>
    <t>로크너트</t>
    <phoneticPr fontId="1" type="noConversion"/>
  </si>
  <si>
    <t>전자기계실</t>
    <phoneticPr fontId="1" type="noConversion"/>
  </si>
  <si>
    <t>82.5L/90KG/2BT</t>
    <phoneticPr fontId="1" type="noConversion"/>
  </si>
  <si>
    <t>1</t>
    <phoneticPr fontId="1" type="noConversion"/>
  </si>
  <si>
    <t>400X400mm</t>
    <phoneticPr fontId="1" type="noConversion"/>
  </si>
  <si>
    <t>200X200mm</t>
    <phoneticPr fontId="1" type="noConversion"/>
  </si>
  <si>
    <t>수동복구함 부착 1</t>
    <phoneticPr fontId="1" type="noConversion"/>
  </si>
  <si>
    <t>1.1+3.1+0.6</t>
    <phoneticPr fontId="1" type="noConversion"/>
  </si>
  <si>
    <t>엘보 , 100A</t>
    <phoneticPr fontId="1" type="noConversion"/>
  </si>
  <si>
    <t>TEE , 65A</t>
    <phoneticPr fontId="1" type="noConversion"/>
  </si>
  <si>
    <t>R/S , 100x65</t>
    <phoneticPr fontId="1" type="noConversion"/>
  </si>
  <si>
    <t>R/S , 100x40</t>
    <phoneticPr fontId="1" type="noConversion"/>
  </si>
  <si>
    <t>R/S , 65x50</t>
    <phoneticPr fontId="1" type="noConversion"/>
  </si>
  <si>
    <t>유동식 , 100A</t>
    <phoneticPr fontId="1" type="noConversion"/>
  </si>
  <si>
    <t>90엘보, 나사식 , 50A</t>
    <phoneticPr fontId="1" type="noConversion"/>
  </si>
  <si>
    <t>90엘보, 나사식 , 40A</t>
    <phoneticPr fontId="1" type="noConversion"/>
  </si>
  <si>
    <t>TEE , 나사식 , 50x40</t>
    <phoneticPr fontId="1" type="noConversion"/>
  </si>
  <si>
    <t>R/S , 나사식 , 50x40</t>
    <phoneticPr fontId="1" type="noConversion"/>
  </si>
  <si>
    <t>U볼트,너트</t>
    <phoneticPr fontId="1" type="noConversion"/>
  </si>
  <si>
    <t>65A</t>
    <phoneticPr fontId="1" type="noConversion"/>
  </si>
  <si>
    <t>인서트플레이트</t>
    <phoneticPr fontId="1" type="noConversion"/>
  </si>
  <si>
    <t>(2)*2</t>
    <phoneticPr fontId="1" type="noConversion"/>
  </si>
  <si>
    <t>(0.153*4.8)</t>
    <phoneticPr fontId="1" type="noConversion"/>
  </si>
  <si>
    <t>(1.55+1.55+0.3)*2</t>
    <phoneticPr fontId="1" type="noConversion"/>
  </si>
  <si>
    <t>6.8/1000ton</t>
    <phoneticPr fontId="1" type="noConversion"/>
  </si>
  <si>
    <t>모듈러내진함 1개소 각 4개</t>
    <phoneticPr fontId="1" type="noConversion"/>
  </si>
  <si>
    <t>4*4</t>
    <phoneticPr fontId="1" type="noConversion"/>
  </si>
  <si>
    <t>개소</t>
    <phoneticPr fontId="1" type="noConversion"/>
  </si>
  <si>
    <t>200mm</t>
    <phoneticPr fontId="1" type="noConversion"/>
  </si>
  <si>
    <t>제품검사비(설계심사)</t>
    <phoneticPr fontId="1" type="noConversion"/>
  </si>
  <si>
    <t>회</t>
    <phoneticPr fontId="1" type="noConversion"/>
  </si>
  <si>
    <t>㎠</t>
    <phoneticPr fontId="1" type="noConversion"/>
  </si>
  <si>
    <t>((60*20)*2)+((40*20)*2)</t>
    <phoneticPr fontId="1" type="noConversion"/>
  </si>
  <si>
    <t>동관</t>
    <phoneticPr fontId="1" type="noConversion"/>
  </si>
  <si>
    <t>m</t>
    <phoneticPr fontId="1" type="noConversion"/>
  </si>
  <si>
    <t>0.6+3.5+3.0+4+3.5(H)</t>
    <phoneticPr fontId="1" type="noConversion"/>
  </si>
  <si>
    <t>6A</t>
    <phoneticPr fontId="1" type="noConversion"/>
  </si>
  <si>
    <t>동티</t>
    <phoneticPr fontId="1" type="noConversion"/>
  </si>
  <si>
    <t>동소켓</t>
    <phoneticPr fontId="1" type="noConversion"/>
  </si>
  <si>
    <t>단조소켓</t>
    <phoneticPr fontId="1" type="noConversion"/>
  </si>
  <si>
    <t>15A</t>
    <phoneticPr fontId="1" type="noConversion"/>
  </si>
  <si>
    <t>동어댑터</t>
    <phoneticPr fontId="1" type="noConversion"/>
  </si>
  <si>
    <t>M</t>
    <phoneticPr fontId="1" type="noConversion"/>
  </si>
  <si>
    <t>3.5(H)-수동복구함 연결 노출부</t>
    <phoneticPr fontId="1" type="noConversion"/>
  </si>
  <si>
    <t>양새들</t>
    <phoneticPr fontId="1" type="noConversion"/>
  </si>
  <si>
    <t>로크너트</t>
    <phoneticPr fontId="1" type="noConversion"/>
  </si>
  <si>
    <t>UPS실</t>
    <phoneticPr fontId="1" type="noConversion"/>
  </si>
  <si>
    <t>82.5L/70KG/2BT</t>
    <phoneticPr fontId="1" type="noConversion"/>
  </si>
  <si>
    <t>수량추가</t>
    <phoneticPr fontId="1" type="noConversion"/>
  </si>
  <si>
    <t>내진가대(기본형)</t>
    <phoneticPr fontId="1" type="noConversion"/>
  </si>
  <si>
    <t>FK-5-1-12 Nozzle(360˚)</t>
    <phoneticPr fontId="1" type="noConversion"/>
  </si>
  <si>
    <t>FOMAX</t>
    <phoneticPr fontId="1" type="noConversion"/>
  </si>
  <si>
    <t>방호구역도</t>
    <phoneticPr fontId="1" type="noConversion"/>
  </si>
  <si>
    <t>0.31+0.3+2.05+3+1.2+0.15</t>
    <phoneticPr fontId="1" type="noConversion"/>
  </si>
  <si>
    <t>KSD-3562 SCH40(백관)</t>
    <phoneticPr fontId="1" type="noConversion"/>
  </si>
  <si>
    <t>0.3+0.3</t>
    <phoneticPr fontId="1" type="noConversion"/>
  </si>
  <si>
    <t>플렉시블 커플링(그루브)</t>
    <phoneticPr fontId="1" type="noConversion"/>
  </si>
  <si>
    <t>1+1+1+1+1</t>
    <phoneticPr fontId="1" type="noConversion"/>
  </si>
  <si>
    <t>일반단조관이음쇠</t>
    <phoneticPr fontId="1" type="noConversion"/>
  </si>
  <si>
    <t>90엘보, 나사식 , 40A</t>
    <phoneticPr fontId="1" type="noConversion"/>
  </si>
  <si>
    <t>TEE , 나사식 , 50x40</t>
    <phoneticPr fontId="1" type="noConversion"/>
  </si>
  <si>
    <t>100A</t>
    <phoneticPr fontId="1" type="noConversion"/>
  </si>
  <si>
    <t>50A</t>
    <phoneticPr fontId="1" type="noConversion"/>
  </si>
  <si>
    <t>1+1+1</t>
    <phoneticPr fontId="1" type="noConversion"/>
  </si>
  <si>
    <t>150x150x6T</t>
    <phoneticPr fontId="1" type="noConversion"/>
  </si>
  <si>
    <t>(3)*2</t>
    <phoneticPr fontId="1" type="noConversion"/>
  </si>
  <si>
    <t>(0.19*7)+(0.153*0.6)</t>
    <phoneticPr fontId="1" type="noConversion"/>
  </si>
  <si>
    <t>(0.3+0.3+0.3)*3</t>
    <phoneticPr fontId="1" type="noConversion"/>
  </si>
  <si>
    <t>잡철물제작설치</t>
    <phoneticPr fontId="1" type="noConversion"/>
  </si>
  <si>
    <t>간단</t>
    <phoneticPr fontId="1" type="noConversion"/>
  </si>
  <si>
    <t>TON</t>
    <phoneticPr fontId="1" type="noConversion"/>
  </si>
  <si>
    <t>2.7/1000ton</t>
    <phoneticPr fontId="1" type="noConversion"/>
  </si>
  <si>
    <t>6*4</t>
    <phoneticPr fontId="1" type="noConversion"/>
  </si>
  <si>
    <t>피스톤릴리즈</t>
    <phoneticPr fontId="1" type="noConversion"/>
  </si>
  <si>
    <t>일반피스톤</t>
    <phoneticPr fontId="1" type="noConversion"/>
  </si>
  <si>
    <t>동체크밸브</t>
    <phoneticPr fontId="1" type="noConversion"/>
  </si>
  <si>
    <t>15A x 6A</t>
    <phoneticPr fontId="1" type="noConversion"/>
  </si>
  <si>
    <t>발전기실</t>
    <phoneticPr fontId="1" type="noConversion"/>
  </si>
  <si>
    <t>82.5L/80KG/2BT</t>
    <phoneticPr fontId="1" type="noConversion"/>
  </si>
  <si>
    <t>82.5L/70KG/1BT</t>
    <phoneticPr fontId="1" type="noConversion"/>
  </si>
  <si>
    <t>82.5L/60KG/1BT</t>
    <phoneticPr fontId="1" type="noConversion"/>
  </si>
  <si>
    <t>솔레노이드밸브</t>
    <phoneticPr fontId="1" type="noConversion"/>
  </si>
  <si>
    <t>DC-24V</t>
    <phoneticPr fontId="1" type="noConversion"/>
  </si>
  <si>
    <t>니들밸브</t>
    <phoneticPr fontId="1" type="noConversion"/>
  </si>
  <si>
    <t>수량추가</t>
    <phoneticPr fontId="1" type="noConversion"/>
  </si>
  <si>
    <t>모듈러 -2BT</t>
    <phoneticPr fontId="1" type="noConversion"/>
  </si>
  <si>
    <t>모듈러 -1BT</t>
    <phoneticPr fontId="1" type="noConversion"/>
  </si>
  <si>
    <t>FK-5-1-12 Nozzle(180˚)</t>
    <phoneticPr fontId="1" type="noConversion"/>
  </si>
  <si>
    <t>40A</t>
    <phoneticPr fontId="1" type="noConversion"/>
  </si>
  <si>
    <t>과(부)압배출구 (성능인증품)</t>
    <phoneticPr fontId="1" type="noConversion"/>
  </si>
  <si>
    <t>600X600mm</t>
    <phoneticPr fontId="1" type="noConversion"/>
  </si>
  <si>
    <t>300X300mm</t>
    <phoneticPr fontId="1" type="noConversion"/>
  </si>
  <si>
    <t>200X200mm</t>
    <phoneticPr fontId="1" type="noConversion"/>
  </si>
  <si>
    <t>구역명판</t>
    <phoneticPr fontId="1" type="noConversion"/>
  </si>
  <si>
    <t>수동복구함 부착 1</t>
    <phoneticPr fontId="1" type="noConversion"/>
  </si>
  <si>
    <t>작동설명판</t>
    <phoneticPr fontId="1" type="noConversion"/>
  </si>
  <si>
    <t>0.31+0.3+1.25+1.36+0.8+1.8+0.45+0.15</t>
    <phoneticPr fontId="1" type="noConversion"/>
  </si>
  <si>
    <t>0.3+0.3</t>
    <phoneticPr fontId="1" type="noConversion"/>
  </si>
  <si>
    <t>R/S , 100x65</t>
    <phoneticPr fontId="1" type="noConversion"/>
  </si>
  <si>
    <t>1+1+1</t>
    <phoneticPr fontId="1" type="noConversion"/>
  </si>
  <si>
    <t>(3)*2</t>
    <phoneticPr fontId="1" type="noConversion"/>
  </si>
  <si>
    <t>(0.19*6.4)+(0.153*0.6)</t>
    <phoneticPr fontId="1" type="noConversion"/>
  </si>
  <si>
    <t>2.7/1000ton</t>
    <phoneticPr fontId="1" type="noConversion"/>
  </si>
  <si>
    <t>1구역</t>
    <phoneticPr fontId="1" type="noConversion"/>
  </si>
  <si>
    <t>((50*20)*2)+((50*20)*2)+((100*20)*2)+((50*20)*2)</t>
    <phoneticPr fontId="1" type="noConversion"/>
  </si>
  <si>
    <t>수량감소</t>
    <phoneticPr fontId="1" type="noConversion"/>
  </si>
  <si>
    <t>동관</t>
    <phoneticPr fontId="1" type="noConversion"/>
  </si>
  <si>
    <t>1.5+3.7+4.1+4.7+3.5(H)</t>
    <phoneticPr fontId="1" type="noConversion"/>
  </si>
  <si>
    <t>수동복구함</t>
    <phoneticPr fontId="1" type="noConversion"/>
  </si>
  <si>
    <t>밧데리실</t>
    <phoneticPr fontId="1" type="noConversion"/>
  </si>
  <si>
    <t>밧데리실</t>
    <phoneticPr fontId="1" type="noConversion"/>
  </si>
  <si>
    <t>2.35+1.6+0.15</t>
    <phoneticPr fontId="1" type="noConversion"/>
  </si>
  <si>
    <t>SCH40 그루브 관이음쇠</t>
    <phoneticPr fontId="1" type="noConversion"/>
  </si>
  <si>
    <t>R/S , 65x50</t>
    <phoneticPr fontId="1" type="noConversion"/>
  </si>
  <si>
    <t>R/S , 나사식 , 50x40</t>
    <phoneticPr fontId="1" type="noConversion"/>
  </si>
  <si>
    <t>65A</t>
    <phoneticPr fontId="1" type="noConversion"/>
  </si>
  <si>
    <t>인서트플레이트</t>
    <phoneticPr fontId="1" type="noConversion"/>
  </si>
  <si>
    <t>(1)*2</t>
    <phoneticPr fontId="1" type="noConversion"/>
  </si>
  <si>
    <t>조합페인트</t>
    <phoneticPr fontId="1" type="noConversion"/>
  </si>
  <si>
    <t>2 piece</t>
    <phoneticPr fontId="1" type="noConversion"/>
  </si>
  <si>
    <t>(0.153*4.1)</t>
    <phoneticPr fontId="1" type="noConversion"/>
  </si>
  <si>
    <t>ㄱ형강</t>
    <phoneticPr fontId="1" type="noConversion"/>
  </si>
  <si>
    <t>50x50x6T</t>
    <phoneticPr fontId="1" type="noConversion"/>
  </si>
  <si>
    <t>(0.3+0.3+0.3)*3</t>
    <phoneticPr fontId="1" type="noConversion"/>
  </si>
  <si>
    <t>내진앙카볼트</t>
    <phoneticPr fontId="1" type="noConversion"/>
  </si>
  <si>
    <t>M12</t>
    <phoneticPr fontId="1" type="noConversion"/>
  </si>
  <si>
    <t>모듈러내진함 1개소 각 4개</t>
    <phoneticPr fontId="1" type="noConversion"/>
  </si>
  <si>
    <t xml:space="preserve">	3/8×70(9×70)</t>
    <phoneticPr fontId="1" type="noConversion"/>
  </si>
  <si>
    <t>2*4</t>
    <phoneticPr fontId="1" type="noConversion"/>
  </si>
  <si>
    <t>벽체타공(과압배출구설치)</t>
    <phoneticPr fontId="1" type="noConversion"/>
  </si>
  <si>
    <t>400mm</t>
    <phoneticPr fontId="1" type="noConversion"/>
  </si>
  <si>
    <t>개소</t>
    <phoneticPr fontId="1" type="noConversion"/>
  </si>
  <si>
    <t>300mm</t>
    <phoneticPr fontId="1" type="noConversion"/>
  </si>
  <si>
    <t>피스톤릴리즈댐퍼</t>
    <phoneticPr fontId="1" type="noConversion"/>
  </si>
  <si>
    <t>(STL)특수각형댐퍼,상대익형날개</t>
    <phoneticPr fontId="1" type="noConversion"/>
  </si>
  <si>
    <t>((30*20)*2)+((15*20)*2)</t>
    <phoneticPr fontId="1" type="noConversion"/>
  </si>
  <si>
    <t>개</t>
    <phoneticPr fontId="1" type="noConversion"/>
  </si>
  <si>
    <t>1.1+1.6+1.8+3.5(H)</t>
    <phoneticPr fontId="1" type="noConversion"/>
  </si>
  <si>
    <t>가스압식</t>
    <phoneticPr fontId="1" type="noConversion"/>
  </si>
  <si>
    <t>스틸전선관</t>
    <phoneticPr fontId="1" type="noConversion"/>
  </si>
  <si>
    <t>창고</t>
    <phoneticPr fontId="1" type="noConversion"/>
  </si>
  <si>
    <t>1</t>
    <phoneticPr fontId="1" type="noConversion"/>
  </si>
  <si>
    <t>엘보 , 100A</t>
    <phoneticPr fontId="1" type="noConversion"/>
  </si>
  <si>
    <t>TEE , 100A</t>
    <phoneticPr fontId="1" type="noConversion"/>
  </si>
  <si>
    <t>TEE , 65A</t>
    <phoneticPr fontId="1" type="noConversion"/>
  </si>
  <si>
    <t>유동식 , 100A</t>
    <phoneticPr fontId="1" type="noConversion"/>
  </si>
  <si>
    <t>유동식 , 65A</t>
    <phoneticPr fontId="1" type="noConversion"/>
  </si>
  <si>
    <t>유동식 , 50A</t>
    <phoneticPr fontId="1" type="noConversion"/>
  </si>
  <si>
    <t>90엘보, 나사식 , 50A</t>
    <phoneticPr fontId="1" type="noConversion"/>
  </si>
  <si>
    <t>150x150x6T</t>
    <phoneticPr fontId="1" type="noConversion"/>
  </si>
  <si>
    <t>모듈러내진함 1개소 각 4개</t>
    <phoneticPr fontId="1" type="noConversion"/>
  </si>
  <si>
    <t>2*4</t>
    <phoneticPr fontId="1" type="noConversion"/>
  </si>
  <si>
    <t>단조소켓</t>
    <phoneticPr fontId="1" type="noConversion"/>
  </si>
  <si>
    <t>EA</t>
    <phoneticPr fontId="1" type="noConversion"/>
  </si>
  <si>
    <t>동어댑터</t>
    <phoneticPr fontId="1" type="noConversion"/>
  </si>
  <si>
    <t>스틸전선관</t>
    <phoneticPr fontId="1" type="noConversion"/>
  </si>
  <si>
    <t>소화가스실</t>
    <phoneticPr fontId="1" type="noConversion"/>
  </si>
  <si>
    <t>소화가스실</t>
    <phoneticPr fontId="1" type="noConversion"/>
  </si>
  <si>
    <t>셋트앙카볼트</t>
    <phoneticPr fontId="1" type="noConversion"/>
  </si>
  <si>
    <t>4*3(1병당 4개소-3병)</t>
    <phoneticPr fontId="1" type="noConversion"/>
  </si>
  <si>
    <t>2+2+2</t>
    <phoneticPr fontId="1" type="noConversion"/>
  </si>
  <si>
    <t>가스식(mini FK-5-1-12)자동소화장치</t>
    <phoneticPr fontId="1" type="noConversion"/>
  </si>
  <si>
    <t xml:space="preserve"> 24㎏/19.8L×3BTL</t>
    <phoneticPr fontId="1" type="noConversion"/>
  </si>
  <si>
    <t>산 출 조 사 서</t>
    <phoneticPr fontId="10" type="noConversion"/>
  </si>
  <si>
    <t>산출근거</t>
    <phoneticPr fontId="1" type="noConversion"/>
  </si>
  <si>
    <t>계</t>
    <phoneticPr fontId="1" type="noConversion"/>
  </si>
  <si>
    <t>할증률</t>
    <phoneticPr fontId="1" type="noConversion"/>
  </si>
  <si>
    <t>총 계</t>
    <phoneticPr fontId="1" type="noConversion"/>
  </si>
  <si>
    <t>CO2실린더 철거</t>
    <phoneticPr fontId="1" type="noConversion"/>
  </si>
  <si>
    <t>68L/45KG</t>
    <phoneticPr fontId="1" type="noConversion"/>
  </si>
  <si>
    <t>BTL</t>
    <phoneticPr fontId="1" type="noConversion"/>
  </si>
  <si>
    <t>32+5</t>
    <phoneticPr fontId="1" type="noConversion"/>
  </si>
  <si>
    <t>선택밸브 철거</t>
    <phoneticPr fontId="1" type="noConversion"/>
  </si>
  <si>
    <t>80A</t>
    <phoneticPr fontId="1" type="noConversion"/>
  </si>
  <si>
    <t>개소</t>
    <phoneticPr fontId="1" type="noConversion"/>
  </si>
  <si>
    <t>1+1</t>
    <phoneticPr fontId="1" type="noConversion"/>
  </si>
  <si>
    <t>기동용기함 철거</t>
    <phoneticPr fontId="1" type="noConversion"/>
  </si>
  <si>
    <t>2+3</t>
    <phoneticPr fontId="1" type="noConversion"/>
  </si>
  <si>
    <t>SCH80 PIPE 철거</t>
    <phoneticPr fontId="1" type="noConversion"/>
  </si>
  <si>
    <t>M</t>
    <phoneticPr fontId="1" type="noConversion"/>
  </si>
  <si>
    <t>(4+1+2)*3LINE,노출</t>
    <phoneticPr fontId="1" type="noConversion"/>
  </si>
  <si>
    <t>65A</t>
    <phoneticPr fontId="1" type="noConversion"/>
  </si>
  <si>
    <t>(4+1+2)*2LINE,노출</t>
    <phoneticPr fontId="1" type="noConversion"/>
  </si>
  <si>
    <t>SCH80 PIPE 철거</t>
    <phoneticPr fontId="1" type="noConversion"/>
  </si>
  <si>
    <t>40A</t>
    <phoneticPr fontId="1" type="noConversion"/>
  </si>
  <si>
    <t>32A</t>
    <phoneticPr fontId="1" type="noConversion"/>
  </si>
  <si>
    <t>25A</t>
    <phoneticPr fontId="1" type="noConversion"/>
  </si>
  <si>
    <t>CO2 노즐 철거</t>
    <phoneticPr fontId="1" type="noConversion"/>
  </si>
  <si>
    <t>EA</t>
    <phoneticPr fontId="1" type="noConversion"/>
  </si>
  <si>
    <t>소화가스실입구</t>
    <phoneticPr fontId="1" type="noConversion"/>
  </si>
  <si>
    <t>전기실입구,복도(천정속)</t>
    <phoneticPr fontId="1" type="noConversion"/>
  </si>
  <si>
    <t>BTL</t>
    <phoneticPr fontId="1" type="noConversion"/>
  </si>
  <si>
    <t xml:space="preserve"> - 지하1층용 배관만 철거산출</t>
    <phoneticPr fontId="1" type="noConversion"/>
  </si>
  <si>
    <t>(3.7+12.7)*2LINE,천정속,</t>
    <phoneticPr fontId="1" type="noConversion"/>
  </si>
  <si>
    <t>철거제외</t>
    <phoneticPr fontId="1" type="noConversion"/>
  </si>
  <si>
    <t>32A</t>
    <phoneticPr fontId="1" type="noConversion"/>
  </si>
  <si>
    <t>25A</t>
    <phoneticPr fontId="1" type="noConversion"/>
  </si>
  <si>
    <t>M</t>
    <phoneticPr fontId="1" type="noConversion"/>
  </si>
  <si>
    <t>전기실입구</t>
    <phoneticPr fontId="1" type="noConversion"/>
  </si>
  <si>
    <t>전기실,밧데리실,창고</t>
    <phoneticPr fontId="1" type="noConversion"/>
  </si>
  <si>
    <t>80A</t>
    <phoneticPr fontId="1" type="noConversion"/>
  </si>
  <si>
    <t>1.5+4.3+1.7</t>
    <phoneticPr fontId="1" type="noConversion"/>
  </si>
  <si>
    <t>5.3+5.3</t>
    <phoneticPr fontId="1" type="noConversion"/>
  </si>
  <si>
    <t>6.5+6.5+6.5</t>
    <phoneticPr fontId="1" type="noConversion"/>
  </si>
  <si>
    <t>CO2 노즐 철거</t>
    <phoneticPr fontId="1" type="noConversion"/>
  </si>
  <si>
    <t>EA</t>
    <phoneticPr fontId="1" type="noConversion"/>
  </si>
  <si>
    <t>1+1+3</t>
    <phoneticPr fontId="1" type="noConversion"/>
  </si>
  <si>
    <t>전산기계실,UPS실,발전기실</t>
    <phoneticPr fontId="1" type="noConversion"/>
  </si>
  <si>
    <t>68L/45KG</t>
    <phoneticPr fontId="1" type="noConversion"/>
  </si>
  <si>
    <t>선택밸브 철거</t>
    <phoneticPr fontId="1" type="noConversion"/>
  </si>
  <si>
    <t>80A</t>
    <phoneticPr fontId="1" type="noConversion"/>
  </si>
  <si>
    <t>기동용기함 철거</t>
    <phoneticPr fontId="1" type="noConversion"/>
  </si>
  <si>
    <t>SCH80 PIPE 철거</t>
    <phoneticPr fontId="1" type="noConversion"/>
  </si>
  <si>
    <t>3.9+4.7+2.9+4.7+1.6</t>
    <phoneticPr fontId="1" type="noConversion"/>
  </si>
  <si>
    <t>전자기계실 천정속배관 철거제외(수량감소)</t>
    <phoneticPr fontId="1" type="noConversion"/>
  </si>
  <si>
    <t>2+2</t>
    <phoneticPr fontId="1" type="noConversion"/>
  </si>
  <si>
    <t>2+2+2</t>
    <phoneticPr fontId="1" type="noConversion"/>
  </si>
  <si>
    <t>산 출 산 출 서</t>
    <phoneticPr fontId="10" type="noConversion"/>
  </si>
  <si>
    <t>[할로겐화합물소화약제설비]</t>
    <phoneticPr fontId="1" type="noConversion"/>
  </si>
  <si>
    <t>[가스자동소화장치]</t>
    <phoneticPr fontId="1" type="noConversion"/>
  </si>
  <si>
    <t>[철거]</t>
    <phoneticPr fontId="1" type="noConversion"/>
  </si>
  <si>
    <t>가스식(mini FK-5-1-12)자동소화장치</t>
    <phoneticPr fontId="1" type="noConversion"/>
  </si>
  <si>
    <t xml:space="preserve"> 24㎏/19.8L×3BTL</t>
    <phoneticPr fontId="1" type="noConversion"/>
  </si>
  <si>
    <t>순계약금액 * 0.364%</t>
    <phoneticPr fontId="1" type="noConversion"/>
  </si>
  <si>
    <t>순 계 약 금 액</t>
    <phoneticPr fontId="1" type="noConversion"/>
  </si>
  <si>
    <t>(계+일반관리비+이윤)</t>
    <phoneticPr fontId="1" type="noConversion"/>
  </si>
  <si>
    <t>총 공 사 원 가</t>
    <phoneticPr fontId="1" type="noConversion"/>
  </si>
  <si>
    <t>(순계약금액+소방시설업 배상책임공제)</t>
    <phoneticPr fontId="1" type="noConversion"/>
  </si>
  <si>
    <t>총공사원가 * 10%</t>
    <phoneticPr fontId="1" type="noConversion"/>
  </si>
  <si>
    <t>백원미만절사</t>
    <phoneticPr fontId="1" type="noConversion"/>
  </si>
  <si>
    <t>소방진흥법상 소방시설고사 손해배상공제 가입 의무(*소방산업공제 5억원이하 0.364%)</t>
    <phoneticPr fontId="1" type="noConversion"/>
  </si>
  <si>
    <t>생명줄포함</t>
    <phoneticPr fontId="1" type="noConversion"/>
  </si>
  <si>
    <t>41*41*t2.6mm</t>
    <phoneticPr fontId="1" type="noConversion"/>
  </si>
  <si>
    <t>"U"-CHANNEL  kg     ( 호표 34 )</t>
    <phoneticPr fontId="1" type="noConversion"/>
  </si>
  <si>
    <t>케이블트레이부속품</t>
    <phoneticPr fontId="1" type="noConversion"/>
  </si>
  <si>
    <t>kg</t>
    <phoneticPr fontId="1" type="noConversion"/>
  </si>
  <si>
    <t>케이블클램프</t>
    <phoneticPr fontId="1" type="noConversion"/>
  </si>
  <si>
    <t>케이블클램프  16 C  개소     ( 호표 12 )</t>
    <phoneticPr fontId="1" type="noConversion"/>
  </si>
  <si>
    <t>케이블클램프  22 C  개소     ( 호표 13 )</t>
    <phoneticPr fontId="1" type="noConversion"/>
  </si>
  <si>
    <t>케이블클램프  28 C  개소     ( 호표 14 )</t>
    <phoneticPr fontId="1" type="noConversion"/>
  </si>
  <si>
    <t>케이블클램프</t>
    <phoneticPr fontId="1" type="noConversion"/>
  </si>
  <si>
    <t>케이블클램프, 접지크램프, 16C</t>
    <phoneticPr fontId="1" type="noConversion"/>
  </si>
  <si>
    <t>케이블클램프, 접지크램프, 22C</t>
    <phoneticPr fontId="1" type="noConversion"/>
  </si>
  <si>
    <t>케이블클램프, 접지크램프, 28C</t>
    <phoneticPr fontId="1" type="noConversion"/>
  </si>
  <si>
    <t>케이블클램프</t>
    <phoneticPr fontId="1" type="noConversion"/>
  </si>
  <si>
    <t>케이블클램프</t>
    <phoneticPr fontId="1" type="noConversion"/>
  </si>
  <si>
    <t>케이블클램프, 접지크램프, 16C</t>
    <phoneticPr fontId="1" type="noConversion"/>
  </si>
  <si>
    <t>케이블클램프, 접지크램프, 28C</t>
    <phoneticPr fontId="1" type="noConversion"/>
  </si>
  <si>
    <t>개소</t>
    <phoneticPr fontId="1" type="noConversion"/>
  </si>
  <si>
    <t>"U"-CHANNEL</t>
    <phoneticPr fontId="1" type="noConversion"/>
  </si>
  <si>
    <t>41*41*t2.6mm</t>
    <phoneticPr fontId="1" type="noConversion"/>
  </si>
  <si>
    <t>"U"-CHANNEL</t>
    <phoneticPr fontId="1" type="noConversion"/>
  </si>
  <si>
    <t>kg</t>
    <phoneticPr fontId="1" type="noConversion"/>
  </si>
  <si>
    <t>3913170520175128</t>
    <phoneticPr fontId="1" type="noConversion"/>
  </si>
  <si>
    <t>(개소당 0.2m 사용,  u-channel 단위중량 2.6k/m)</t>
    <phoneticPr fontId="1" type="noConversion"/>
  </si>
  <si>
    <t>0.2m*2.6kg/m=0.52kg</t>
    <phoneticPr fontId="1" type="noConversion"/>
  </si>
  <si>
    <t>강제전선관/지지간격*0.2M(U찬넬길이 개소당 길이)*2.6KG(단위중량)</t>
    <phoneticPr fontId="1" type="noConversion"/>
  </si>
  <si>
    <t>L001010101000010</t>
    <phoneticPr fontId="1" type="noConversion"/>
  </si>
  <si>
    <t>철판공</t>
    <phoneticPr fontId="1" type="noConversion"/>
  </si>
  <si>
    <t>L001010101000029</t>
    <phoneticPr fontId="1" type="noConversion"/>
  </si>
  <si>
    <t>도장공</t>
    <phoneticPr fontId="1" type="noConversion"/>
  </si>
  <si>
    <t>철판공</t>
    <phoneticPr fontId="1" type="noConversion"/>
  </si>
  <si>
    <t>용접공</t>
    <phoneticPr fontId="1" type="noConversion"/>
  </si>
  <si>
    <t>보통인부</t>
    <phoneticPr fontId="1" type="noConversion"/>
  </si>
  <si>
    <t>도장공</t>
    <phoneticPr fontId="1" type="noConversion"/>
  </si>
  <si>
    <t>보통인부</t>
    <phoneticPr fontId="1" type="noConversion"/>
  </si>
  <si>
    <t>호표 34</t>
    <phoneticPr fontId="1" type="noConversion"/>
  </si>
  <si>
    <t>U-CHANNEL</t>
  </si>
  <si>
    <t>kg</t>
    <phoneticPr fontId="1" type="noConversion"/>
  </si>
  <si>
    <t>건축 24-1</t>
    <phoneticPr fontId="1" type="noConversion"/>
  </si>
  <si>
    <t>호표 34</t>
    <phoneticPr fontId="1" type="noConversion"/>
  </si>
  <si>
    <t>노임 11</t>
  </si>
  <si>
    <t>노임 12</t>
  </si>
  <si>
    <t>노임 4</t>
    <phoneticPr fontId="1" type="noConversion"/>
  </si>
  <si>
    <t>노임 6</t>
    <phoneticPr fontId="1" type="noConversion"/>
  </si>
  <si>
    <t>노임 7</t>
    <phoneticPr fontId="1" type="noConversion"/>
  </si>
  <si>
    <t>노임 11</t>
    <phoneticPr fontId="1" type="noConversion"/>
  </si>
  <si>
    <t>노임 12</t>
    <phoneticPr fontId="1" type="noConversion"/>
  </si>
  <si>
    <t>노임 10</t>
    <phoneticPr fontId="1" type="noConversion"/>
  </si>
  <si>
    <t>노임 11</t>
    <phoneticPr fontId="1" type="noConversion"/>
  </si>
  <si>
    <t>노임 5</t>
    <phoneticPr fontId="1" type="noConversion"/>
  </si>
  <si>
    <t>노임 9</t>
    <phoneticPr fontId="1" type="noConversion"/>
  </si>
  <si>
    <t>공사명 : 사옥 이산화탄소 소화설비 교체공사</t>
    <phoneticPr fontId="1" type="noConversion"/>
  </si>
  <si>
    <t>[ 사옥 이산화탄소 소화설비 교체공사 ]</t>
    <phoneticPr fontId="1" type="noConversion"/>
  </si>
  <si>
    <t>01  사옥 이산화탄소 소화설비 교체공사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</si>
</sst>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1" formatCode="_-* #,##0_-;\-* #,##0_-;_-* &quot;-&quot;_-;_-@_-"/>
    <numFmt numFmtId="176" formatCode="#,###"/>
    <numFmt numFmtId="177" formatCode="#,##0.00#"/>
    <numFmt numFmtId="178" formatCode="#,##0.0"/>
    <numFmt numFmtId="179" formatCode="#,##0.00#;\-#,##0.00#;#"/>
    <numFmt numFmtId="180" formatCode="0_ "/>
    <numFmt numFmtId="181" formatCode="_-* #,##0.0_-;\-* #,##0.0_-;_-* &quot;-&quot;_-;_-@_-"/>
    <numFmt numFmtId="182" formatCode="#,##0.0_);[Red]\(#,##0.0\)"/>
    <numFmt numFmtId="183" formatCode="#,##0.0000"/>
    <numFmt numFmtId="184" formatCode="_-* #,##0.000_-;\-* #,##0.000_-;_-* &quot;-&quot;_-;_-@_-"/>
    <numFmt numFmtId="185" formatCode="#,##0.000_);[Red]\(#,##0.000\)"/>
    <numFmt numFmtId="186" formatCode="0.0000_ "/>
    <numFmt numFmtId="187" formatCode="#\ ##0;\ \-#\ ##0;\ \-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u/>
      <sz val="12"/>
      <color theme="1"/>
      <name val="돋움체"/>
      <family val="3"/>
      <charset val="129"/>
    </font>
    <font>
      <sz val="11"/>
      <color theme="1"/>
      <name val="돋움체"/>
      <family val="3"/>
      <charset val="129"/>
    </font>
    <font>
      <b/>
      <sz val="11"/>
      <color theme="1"/>
      <name val="돋움체"/>
      <family val="3"/>
      <charset val="129"/>
    </font>
    <font>
      <sz val="10"/>
      <color theme="1"/>
      <name val="돋움체"/>
      <family val="3"/>
      <charset val="129"/>
    </font>
    <font>
      <sz val="8"/>
      <name val="HY중고딕"/>
      <family val="1"/>
      <charset val="129"/>
    </font>
    <font>
      <b/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2"/>
      <name val="바탕체"/>
      <family val="1"/>
      <charset val="129"/>
    </font>
    <font>
      <sz val="10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9"/>
      <color theme="1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13" fillId="0" borderId="0"/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</cellStyleXfs>
  <cellXfs count="127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Font="1" applyBorder="1" applyAlignment="1">
      <alignment vertical="center" wrapText="1"/>
    </xf>
    <xf numFmtId="0" fontId="0" fillId="0" borderId="1" xfId="0" applyFont="1" applyBorder="1" applyAlignment="1">
      <alignment vertical="center"/>
    </xf>
    <xf numFmtId="0" fontId="0" fillId="0" borderId="2" xfId="0" quotePrefix="1" applyFont="1" applyBorder="1" applyAlignment="1">
      <alignment vertical="center"/>
    </xf>
    <xf numFmtId="0" fontId="0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8" xfId="0" quotePrefix="1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177" fontId="3" fillId="0" borderId="6" xfId="0" applyNumberFormat="1" applyFont="1" applyBorder="1">
      <alignment vertical="center"/>
    </xf>
    <xf numFmtId="177" fontId="3" fillId="0" borderId="8" xfId="0" applyNumberFormat="1" applyFont="1" applyBorder="1" applyAlignment="1">
      <alignment vertical="center" wrapText="1"/>
    </xf>
    <xf numFmtId="178" fontId="3" fillId="0" borderId="4" xfId="0" applyNumberFormat="1" applyFont="1" applyBorder="1" applyAlignment="1">
      <alignment vertical="center" wrapText="1"/>
    </xf>
    <xf numFmtId="178" fontId="3" fillId="0" borderId="6" xfId="0" applyNumberFormat="1" applyFont="1" applyBorder="1">
      <alignment vertical="center"/>
    </xf>
    <xf numFmtId="178" fontId="3" fillId="0" borderId="8" xfId="0" applyNumberFormat="1" applyFont="1" applyBorder="1" applyAlignment="1">
      <alignment vertical="center" wrapText="1"/>
    </xf>
    <xf numFmtId="179" fontId="0" fillId="0" borderId="4" xfId="0" quotePrefix="1" applyNumberFormat="1" applyFont="1" applyBorder="1" applyAlignment="1">
      <alignment vertical="center" wrapText="1"/>
    </xf>
    <xf numFmtId="179" fontId="3" fillId="0" borderId="4" xfId="0" applyNumberFormat="1" applyFont="1" applyBorder="1" applyAlignment="1">
      <alignment vertical="center" wrapText="1"/>
    </xf>
    <xf numFmtId="179" fontId="0" fillId="0" borderId="0" xfId="0" applyNumberFormat="1" applyAlignment="1">
      <alignment vertical="center"/>
    </xf>
    <xf numFmtId="0" fontId="3" fillId="0" borderId="4" xfId="0" quotePrefix="1" applyFont="1" applyBorder="1" applyAlignment="1">
      <alignment horizontal="center" vertical="center" wrapText="1"/>
    </xf>
    <xf numFmtId="0" fontId="0" fillId="0" borderId="8" xfId="0" quotePrefix="1" applyFont="1" applyBorder="1" applyAlignment="1">
      <alignment vertical="center" wrapText="1"/>
    </xf>
    <xf numFmtId="0" fontId="4" fillId="0" borderId="8" xfId="0" quotePrefix="1" applyFont="1" applyBorder="1" applyAlignment="1">
      <alignment horizontal="center" vertical="center"/>
    </xf>
    <xf numFmtId="0" fontId="0" fillId="0" borderId="8" xfId="0" applyFont="1" applyBorder="1" applyAlignment="1">
      <alignment vertical="center" wrapText="1"/>
    </xf>
    <xf numFmtId="0" fontId="8" fillId="0" borderId="8" xfId="0" quotePrefix="1" applyFont="1" applyBorder="1" applyAlignment="1">
      <alignment horizontal="center" vertical="center"/>
    </xf>
    <xf numFmtId="0" fontId="9" fillId="0" borderId="8" xfId="0" quotePrefix="1" applyFont="1" applyBorder="1" applyAlignment="1">
      <alignment vertical="center"/>
    </xf>
    <xf numFmtId="0" fontId="9" fillId="0" borderId="8" xfId="0" applyFont="1" applyBorder="1" applyAlignment="1">
      <alignment vertical="center"/>
    </xf>
    <xf numFmtId="180" fontId="3" fillId="0" borderId="2" xfId="0" applyNumberFormat="1" applyFont="1" applyBorder="1" applyAlignment="1">
      <alignment vertical="center"/>
    </xf>
    <xf numFmtId="180" fontId="3" fillId="0" borderId="8" xfId="0" applyNumberFormat="1" applyFont="1" applyBorder="1" applyAlignment="1">
      <alignment vertical="center" wrapText="1"/>
    </xf>
    <xf numFmtId="180" fontId="0" fillId="0" borderId="0" xfId="0" applyNumberFormat="1">
      <alignment vertical="center"/>
    </xf>
    <xf numFmtId="0" fontId="3" fillId="0" borderId="0" xfId="4">
      <alignment vertical="center"/>
    </xf>
    <xf numFmtId="0" fontId="11" fillId="3" borderId="8" xfId="3" applyFont="1" applyFill="1" applyBorder="1" applyAlignment="1">
      <alignment horizontal="center" vertical="center" wrapText="1"/>
    </xf>
    <xf numFmtId="0" fontId="12" fillId="0" borderId="8" xfId="3" applyFont="1" applyBorder="1" applyAlignment="1">
      <alignment horizontal="center" vertical="center" wrapText="1"/>
    </xf>
    <xf numFmtId="181" fontId="12" fillId="0" borderId="8" xfId="1" applyNumberFormat="1" applyFont="1" applyFill="1" applyBorder="1" applyAlignment="1">
      <alignment vertical="center" wrapText="1"/>
    </xf>
    <xf numFmtId="182" fontId="14" fillId="4" borderId="8" xfId="5" applyNumberFormat="1" applyFont="1" applyFill="1" applyBorder="1" applyAlignment="1">
      <alignment vertical="center"/>
    </xf>
    <xf numFmtId="9" fontId="12" fillId="0" borderId="8" xfId="2" applyFont="1" applyFill="1" applyBorder="1" applyAlignment="1">
      <alignment vertical="center" wrapText="1"/>
    </xf>
    <xf numFmtId="181" fontId="16" fillId="4" borderId="8" xfId="6" applyNumberFormat="1" applyFont="1" applyFill="1" applyBorder="1" applyAlignment="1">
      <alignment horizontal="right" vertical="center"/>
    </xf>
    <xf numFmtId="0" fontId="12" fillId="0" borderId="8" xfId="3" applyFont="1" applyBorder="1" applyAlignment="1">
      <alignment vertical="center" wrapText="1"/>
    </xf>
    <xf numFmtId="0" fontId="12" fillId="5" borderId="8" xfId="3" applyFont="1" applyFill="1" applyBorder="1" applyAlignment="1">
      <alignment horizontal="center" vertical="center" wrapText="1"/>
    </xf>
    <xf numFmtId="181" fontId="12" fillId="5" borderId="8" xfId="1" applyNumberFormat="1" applyFont="1" applyFill="1" applyBorder="1" applyAlignment="1">
      <alignment vertical="center" wrapText="1"/>
    </xf>
    <xf numFmtId="182" fontId="14" fillId="5" borderId="8" xfId="5" applyNumberFormat="1" applyFont="1" applyFill="1" applyBorder="1" applyAlignment="1">
      <alignment vertical="center"/>
    </xf>
    <xf numFmtId="9" fontId="12" fillId="5" borderId="8" xfId="2" applyFont="1" applyFill="1" applyBorder="1" applyAlignment="1">
      <alignment vertical="center" wrapText="1"/>
    </xf>
    <xf numFmtId="181" fontId="16" fillId="5" borderId="8" xfId="6" applyNumberFormat="1" applyFont="1" applyFill="1" applyBorder="1" applyAlignment="1">
      <alignment horizontal="right" vertical="center"/>
    </xf>
    <xf numFmtId="0" fontId="12" fillId="5" borderId="8" xfId="3" applyFont="1" applyFill="1" applyBorder="1" applyAlignment="1">
      <alignment vertical="center" wrapText="1"/>
    </xf>
    <xf numFmtId="3" fontId="12" fillId="0" borderId="8" xfId="3" quotePrefix="1" applyNumberFormat="1" applyFont="1" applyBorder="1" applyAlignment="1">
      <alignment horizontal="center" vertical="center" wrapText="1"/>
    </xf>
    <xf numFmtId="181" fontId="12" fillId="0" borderId="8" xfId="3" applyNumberFormat="1" applyFont="1" applyBorder="1" applyAlignment="1">
      <alignment vertical="center" wrapText="1"/>
    </xf>
    <xf numFmtId="3" fontId="12" fillId="0" borderId="8" xfId="3" quotePrefix="1" applyNumberFormat="1" applyFont="1" applyBorder="1" applyAlignment="1">
      <alignment vertical="center" wrapText="1"/>
    </xf>
    <xf numFmtId="3" fontId="12" fillId="0" borderId="8" xfId="3" applyNumberFormat="1" applyFont="1" applyBorder="1" applyAlignment="1">
      <alignment vertical="center" wrapText="1"/>
    </xf>
    <xf numFmtId="3" fontId="12" fillId="0" borderId="8" xfId="3" applyNumberFormat="1" applyFont="1" applyBorder="1" applyAlignment="1">
      <alignment horizontal="center" vertical="center" wrapText="1"/>
    </xf>
    <xf numFmtId="9" fontId="12" fillId="0" borderId="8" xfId="3" applyNumberFormat="1" applyFont="1" applyBorder="1" applyAlignment="1">
      <alignment vertical="center" wrapText="1"/>
    </xf>
    <xf numFmtId="178" fontId="12" fillId="0" borderId="8" xfId="3" quotePrefix="1" applyNumberFormat="1" applyFont="1" applyBorder="1" applyAlignment="1">
      <alignment horizontal="center" vertical="center" wrapText="1"/>
    </xf>
    <xf numFmtId="183" fontId="12" fillId="0" borderId="8" xfId="3" applyNumberFormat="1" applyFont="1" applyBorder="1" applyAlignment="1">
      <alignment vertical="center" wrapText="1"/>
    </xf>
    <xf numFmtId="3" fontId="12" fillId="5" borderId="8" xfId="3" applyNumberFormat="1" applyFont="1" applyFill="1" applyBorder="1" applyAlignment="1">
      <alignment horizontal="center" vertical="center" wrapText="1"/>
    </xf>
    <xf numFmtId="184" fontId="12" fillId="5" borderId="8" xfId="3" applyNumberFormat="1" applyFont="1" applyFill="1" applyBorder="1" applyAlignment="1">
      <alignment vertical="center" wrapText="1"/>
    </xf>
    <xf numFmtId="185" fontId="14" fillId="5" borderId="8" xfId="5" applyNumberFormat="1" applyFont="1" applyFill="1" applyBorder="1" applyAlignment="1">
      <alignment vertical="center"/>
    </xf>
    <xf numFmtId="3" fontId="12" fillId="5" borderId="8" xfId="3" applyNumberFormat="1" applyFont="1" applyFill="1" applyBorder="1" applyAlignment="1">
      <alignment vertical="center" wrapText="1"/>
    </xf>
    <xf numFmtId="184" fontId="16" fillId="5" borderId="8" xfId="6" applyNumberFormat="1" applyFont="1" applyFill="1" applyBorder="1" applyAlignment="1">
      <alignment horizontal="right" vertical="center"/>
    </xf>
    <xf numFmtId="181" fontId="12" fillId="0" borderId="8" xfId="3" quotePrefix="1" applyNumberFormat="1" applyFont="1" applyBorder="1" applyAlignment="1">
      <alignment vertical="center" wrapText="1"/>
    </xf>
    <xf numFmtId="3" fontId="12" fillId="5" borderId="8" xfId="3" quotePrefix="1" applyNumberFormat="1" applyFont="1" applyFill="1" applyBorder="1" applyAlignment="1">
      <alignment horizontal="center" vertical="center" wrapText="1"/>
    </xf>
    <xf numFmtId="181" fontId="12" fillId="5" borderId="8" xfId="3" quotePrefix="1" applyNumberFormat="1" applyFont="1" applyFill="1" applyBorder="1" applyAlignment="1">
      <alignment vertical="center" wrapText="1"/>
    </xf>
    <xf numFmtId="3" fontId="12" fillId="5" borderId="8" xfId="3" quotePrefix="1" applyNumberFormat="1" applyFont="1" applyFill="1" applyBorder="1" applyAlignment="1">
      <alignment vertical="center" wrapText="1"/>
    </xf>
    <xf numFmtId="182" fontId="14" fillId="0" borderId="8" xfId="5" applyNumberFormat="1" applyFont="1" applyBorder="1" applyAlignment="1">
      <alignment vertical="center"/>
    </xf>
    <xf numFmtId="184" fontId="12" fillId="0" borderId="8" xfId="3" applyNumberFormat="1" applyFont="1" applyBorder="1" applyAlignment="1">
      <alignment vertical="center" wrapText="1"/>
    </xf>
    <xf numFmtId="185" fontId="14" fillId="4" borderId="8" xfId="5" applyNumberFormat="1" applyFont="1" applyFill="1" applyBorder="1" applyAlignment="1">
      <alignment vertical="center"/>
    </xf>
    <xf numFmtId="184" fontId="16" fillId="4" borderId="8" xfId="6" applyNumberFormat="1" applyFont="1" applyFill="1" applyBorder="1" applyAlignment="1">
      <alignment horizontal="right" vertical="center"/>
    </xf>
    <xf numFmtId="41" fontId="16" fillId="4" borderId="8" xfId="6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12" fillId="0" borderId="8" xfId="3" quotePrefix="1" applyFont="1" applyBorder="1" applyAlignment="1">
      <alignment horizontal="center" vertical="center" wrapText="1"/>
    </xf>
    <xf numFmtId="181" fontId="12" fillId="5" borderId="8" xfId="3" applyNumberFormat="1" applyFont="1" applyFill="1" applyBorder="1" applyAlignment="1">
      <alignment vertical="center" wrapText="1"/>
    </xf>
    <xf numFmtId="0" fontId="3" fillId="0" borderId="0" xfId="4" quotePrefix="1">
      <alignment vertical="center"/>
    </xf>
    <xf numFmtId="0" fontId="12" fillId="0" borderId="8" xfId="3" applyFont="1" applyBorder="1" applyAlignment="1">
      <alignment horizontal="left" vertical="center" wrapText="1"/>
    </xf>
    <xf numFmtId="184" fontId="12" fillId="0" borderId="8" xfId="1" applyNumberFormat="1" applyFont="1" applyFill="1" applyBorder="1" applyAlignment="1">
      <alignment vertical="center" wrapText="1"/>
    </xf>
    <xf numFmtId="186" fontId="3" fillId="0" borderId="8" xfId="0" applyNumberFormat="1" applyFont="1" applyBorder="1" applyAlignment="1">
      <alignment vertical="center" wrapText="1"/>
    </xf>
    <xf numFmtId="0" fontId="17" fillId="0" borderId="8" xfId="3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0" fillId="0" borderId="5" xfId="0" quotePrefix="1" applyFont="1" applyBorder="1">
      <alignment vertical="center"/>
    </xf>
    <xf numFmtId="0" fontId="9" fillId="0" borderId="8" xfId="0" quotePrefix="1" applyFont="1" applyBorder="1" applyAlignment="1">
      <alignment horizontal="left" vertical="center"/>
    </xf>
    <xf numFmtId="0" fontId="8" fillId="0" borderId="8" xfId="0" quotePrefix="1" applyFont="1" applyBorder="1" applyAlignment="1">
      <alignment horizontal="left" vertical="center"/>
    </xf>
    <xf numFmtId="0" fontId="0" fillId="0" borderId="0" xfId="0" quotePrefix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4" xfId="0" quotePrefix="1" applyFont="1" applyBorder="1" applyAlignment="1">
      <alignment horizontal="left" vertical="center" wrapText="1"/>
    </xf>
    <xf numFmtId="0" fontId="9" fillId="5" borderId="8" xfId="0" applyFont="1" applyFill="1" applyBorder="1" applyAlignment="1">
      <alignment vertical="center"/>
    </xf>
    <xf numFmtId="0" fontId="9" fillId="5" borderId="8" xfId="0" quotePrefix="1" applyFont="1" applyFill="1" applyBorder="1" applyAlignment="1">
      <alignment horizontal="left" vertical="center"/>
    </xf>
    <xf numFmtId="0" fontId="18" fillId="5" borderId="4" xfId="0" quotePrefix="1" applyFont="1" applyFill="1" applyBorder="1" applyAlignment="1">
      <alignment vertical="center" wrapText="1"/>
    </xf>
    <xf numFmtId="176" fontId="4" fillId="6" borderId="4" xfId="0" applyNumberFormat="1" applyFont="1" applyFill="1" applyBorder="1" applyAlignment="1">
      <alignment vertical="center" wrapText="1"/>
    </xf>
    <xf numFmtId="176" fontId="4" fillId="7" borderId="4" xfId="0" applyNumberFormat="1" applyFont="1" applyFill="1" applyBorder="1" applyAlignment="1">
      <alignment vertical="center" wrapText="1"/>
    </xf>
    <xf numFmtId="176" fontId="4" fillId="8" borderId="4" xfId="0" applyNumberFormat="1" applyFont="1" applyFill="1" applyBorder="1" applyAlignment="1">
      <alignment vertical="center" wrapText="1"/>
    </xf>
    <xf numFmtId="0" fontId="0" fillId="7" borderId="8" xfId="0" quotePrefix="1" applyFont="1" applyFill="1" applyBorder="1" applyAlignment="1">
      <alignment vertical="center" wrapText="1"/>
    </xf>
    <xf numFmtId="0" fontId="0" fillId="7" borderId="4" xfId="0" quotePrefix="1" applyFont="1" applyFill="1" applyBorder="1" applyAlignment="1">
      <alignment vertical="center" wrapText="1"/>
    </xf>
    <xf numFmtId="180" fontId="3" fillId="7" borderId="8" xfId="0" applyNumberFormat="1" applyFont="1" applyFill="1" applyBorder="1" applyAlignment="1">
      <alignment vertical="center" wrapText="1"/>
    </xf>
    <xf numFmtId="176" fontId="3" fillId="7" borderId="4" xfId="0" applyNumberFormat="1" applyFont="1" applyFill="1" applyBorder="1" applyAlignment="1">
      <alignment vertical="center" wrapText="1"/>
    </xf>
    <xf numFmtId="187" fontId="3" fillId="7" borderId="8" xfId="0" applyNumberFormat="1" applyFont="1" applyFill="1" applyBorder="1" applyAlignment="1">
      <alignment vertical="center" wrapText="1"/>
    </xf>
    <xf numFmtId="187" fontId="3" fillId="0" borderId="8" xfId="0" applyNumberFormat="1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0" fillId="0" borderId="0" xfId="0" applyFont="1" applyAlignment="1">
      <alignment horizontal="right" vertical="center"/>
    </xf>
    <xf numFmtId="0" fontId="0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180" fontId="4" fillId="0" borderId="8" xfId="0" quotePrefix="1" applyNumberFormat="1" applyFont="1" applyBorder="1" applyAlignment="1">
      <alignment horizontal="center" vertical="center"/>
    </xf>
    <xf numFmtId="0" fontId="0" fillId="0" borderId="8" xfId="0" quotePrefix="1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2" fillId="0" borderId="0" xfId="3" quotePrefix="1" applyFont="1" applyAlignment="1">
      <alignment horizontal="center" vertical="center"/>
    </xf>
    <xf numFmtId="0" fontId="11" fillId="2" borderId="8" xfId="3" quotePrefix="1" applyFont="1" applyFill="1" applyBorder="1" applyAlignment="1">
      <alignment horizontal="center" vertical="center"/>
    </xf>
    <xf numFmtId="0" fontId="3" fillId="0" borderId="0" xfId="4" quotePrefix="1">
      <alignment vertical="center"/>
    </xf>
    <xf numFmtId="0" fontId="11" fillId="2" borderId="9" xfId="3" quotePrefix="1" applyFont="1" applyFill="1" applyBorder="1" applyAlignment="1">
      <alignment horizontal="center" vertical="center"/>
    </xf>
    <xf numFmtId="0" fontId="11" fillId="2" borderId="10" xfId="3" quotePrefix="1" applyFont="1" applyFill="1" applyBorder="1" applyAlignment="1">
      <alignment horizontal="center" vertical="center"/>
    </xf>
    <xf numFmtId="0" fontId="12" fillId="5" borderId="9" xfId="3" applyFont="1" applyFill="1" applyBorder="1" applyAlignment="1">
      <alignment horizontal="center" vertical="center" wrapText="1"/>
    </xf>
    <xf numFmtId="0" fontId="12" fillId="5" borderId="10" xfId="3" applyFont="1" applyFill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</cellXfs>
  <cellStyles count="9">
    <cellStyle name="백분율" xfId="2" builtinId="5"/>
    <cellStyle name="쉼표 [0]" xfId="1" builtinId="6"/>
    <cellStyle name="쉼표 [0] 2" xfId="7"/>
    <cellStyle name="쉼표 [0] 2 3" xfId="6"/>
    <cellStyle name="쉼표 [0] 2 3 2" xfId="8"/>
    <cellStyle name="표준" xfId="0" builtinId="0"/>
    <cellStyle name="표준 11 3" xfId="3"/>
    <cellStyle name="표준 2" xfId="4"/>
    <cellStyle name="표준_향남2지구지중송전선로(1003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54620;&#44600;\Desktop\&#51089;&#50629;&#5147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공종별집계표"/>
      <sheetName val="공종별내역서(소방전기)"/>
      <sheetName val="공종별내역서 (2)"/>
      <sheetName val="공종별내역서 (3)"/>
      <sheetName val="공종별내역서(할로겐)"/>
      <sheetName val="공종별내역서(철거)"/>
      <sheetName val="일위대가목록"/>
      <sheetName val="일위대가(소방전기)"/>
      <sheetName val="일위대가(소방기계)"/>
      <sheetName val="공량산출근거서"/>
      <sheetName val="산출조사서(소방전기)"/>
      <sheetName val="산출조사서(소방기계)"/>
      <sheetName val="산출조사서(철거공사)"/>
      <sheetName val="단가대비표"/>
      <sheetName val="공량설정"/>
      <sheetName val=" 공사설정 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2">
          <cell r="B2">
            <v>100</v>
          </cell>
        </row>
        <row r="3">
          <cell r="C3">
            <v>0</v>
          </cell>
        </row>
        <row r="4">
          <cell r="C4">
            <v>0</v>
          </cell>
        </row>
      </sheetData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1"/>
  <sheetViews>
    <sheetView tabSelected="1" topLeftCell="B1" workbookViewId="0">
      <selection activeCell="F35" sqref="F35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106" t="s">
        <v>1137</v>
      </c>
      <c r="C1" s="106"/>
      <c r="D1" s="106"/>
      <c r="E1" s="106"/>
      <c r="F1" s="106"/>
      <c r="G1" s="106"/>
    </row>
    <row r="2" spans="1:7" ht="21.95" customHeight="1" x14ac:dyDescent="0.3">
      <c r="B2" s="107" t="s">
        <v>1900</v>
      </c>
      <c r="C2" s="107"/>
      <c r="D2" s="107"/>
      <c r="E2" s="107"/>
      <c r="F2" s="108"/>
      <c r="G2" s="108"/>
    </row>
    <row r="3" spans="1:7" ht="21.95" customHeight="1" x14ac:dyDescent="0.3">
      <c r="B3" s="109" t="s">
        <v>1138</v>
      </c>
      <c r="C3" s="110"/>
      <c r="D3" s="110"/>
      <c r="E3" s="33" t="s">
        <v>1139</v>
      </c>
      <c r="F3" s="33" t="s">
        <v>1140</v>
      </c>
      <c r="G3" s="33" t="s">
        <v>582</v>
      </c>
    </row>
    <row r="4" spans="1:7" ht="21.95" customHeight="1" x14ac:dyDescent="0.3">
      <c r="A4" s="1" t="s">
        <v>1145</v>
      </c>
      <c r="B4" s="111" t="s">
        <v>1141</v>
      </c>
      <c r="C4" s="111" t="s">
        <v>1142</v>
      </c>
      <c r="D4" s="33" t="s">
        <v>1146</v>
      </c>
      <c r="E4" s="16">
        <f>TRUNC(공종별집계표!F5, 0)</f>
        <v>0</v>
      </c>
      <c r="F4" s="14" t="s">
        <v>51</v>
      </c>
      <c r="G4" s="14" t="s">
        <v>51</v>
      </c>
    </row>
    <row r="5" spans="1:7" ht="21.95" customHeight="1" x14ac:dyDescent="0.3">
      <c r="A5" s="1" t="s">
        <v>1147</v>
      </c>
      <c r="B5" s="111"/>
      <c r="C5" s="111"/>
      <c r="D5" s="33" t="s">
        <v>1148</v>
      </c>
      <c r="E5" s="16">
        <v>0</v>
      </c>
      <c r="F5" s="14" t="s">
        <v>51</v>
      </c>
      <c r="G5" s="14" t="s">
        <v>51</v>
      </c>
    </row>
    <row r="6" spans="1:7" ht="21.95" customHeight="1" x14ac:dyDescent="0.3">
      <c r="A6" s="1" t="s">
        <v>1149</v>
      </c>
      <c r="B6" s="111"/>
      <c r="C6" s="111"/>
      <c r="D6" s="33" t="s">
        <v>1150</v>
      </c>
      <c r="E6" s="16">
        <v>0</v>
      </c>
      <c r="F6" s="14" t="s">
        <v>51</v>
      </c>
      <c r="G6" s="14" t="s">
        <v>51</v>
      </c>
    </row>
    <row r="7" spans="1:7" ht="21.95" customHeight="1" x14ac:dyDescent="0.3">
      <c r="A7" s="1" t="s">
        <v>1151</v>
      </c>
      <c r="B7" s="111"/>
      <c r="C7" s="111"/>
      <c r="D7" s="33" t="s">
        <v>1152</v>
      </c>
      <c r="E7" s="98">
        <f>TRUNC(E4+E5-E6, 0)</f>
        <v>0</v>
      </c>
      <c r="F7" s="14" t="s">
        <v>51</v>
      </c>
      <c r="G7" s="14" t="s">
        <v>51</v>
      </c>
    </row>
    <row r="8" spans="1:7" ht="21.95" customHeight="1" x14ac:dyDescent="0.3">
      <c r="A8" s="1" t="s">
        <v>1153</v>
      </c>
      <c r="B8" s="111"/>
      <c r="C8" s="111" t="s">
        <v>1143</v>
      </c>
      <c r="D8" s="33" t="s">
        <v>1154</v>
      </c>
      <c r="E8" s="16">
        <f>TRUNC(공종별집계표!H5, 0)</f>
        <v>0</v>
      </c>
      <c r="F8" s="14" t="s">
        <v>51</v>
      </c>
      <c r="G8" s="14" t="s">
        <v>51</v>
      </c>
    </row>
    <row r="9" spans="1:7" ht="21.95" customHeight="1" x14ac:dyDescent="0.3">
      <c r="A9" s="1" t="s">
        <v>1155</v>
      </c>
      <c r="B9" s="111"/>
      <c r="C9" s="111"/>
      <c r="D9" s="33" t="s">
        <v>1156</v>
      </c>
      <c r="E9" s="16">
        <f>TRUNC(E8*0.175, 0)</f>
        <v>0</v>
      </c>
      <c r="F9" s="14" t="s">
        <v>1157</v>
      </c>
      <c r="G9" s="14" t="s">
        <v>51</v>
      </c>
    </row>
    <row r="10" spans="1:7" ht="21.95" customHeight="1" x14ac:dyDescent="0.3">
      <c r="A10" s="1" t="s">
        <v>1158</v>
      </c>
      <c r="B10" s="111"/>
      <c r="C10" s="111"/>
      <c r="D10" s="33" t="s">
        <v>1152</v>
      </c>
      <c r="E10" s="98">
        <f>TRUNC(E8+E9, 0)</f>
        <v>0</v>
      </c>
      <c r="F10" s="14" t="s">
        <v>51</v>
      </c>
      <c r="G10" s="14" t="s">
        <v>51</v>
      </c>
    </row>
    <row r="11" spans="1:7" ht="21.95" customHeight="1" x14ac:dyDescent="0.3">
      <c r="A11" s="1" t="s">
        <v>1159</v>
      </c>
      <c r="B11" s="111"/>
      <c r="C11" s="111" t="s">
        <v>1144</v>
      </c>
      <c r="D11" s="33" t="s">
        <v>1160</v>
      </c>
      <c r="E11" s="16">
        <f>TRUNC(공종별집계표!J5, 0)</f>
        <v>0</v>
      </c>
      <c r="F11" s="14" t="s">
        <v>51</v>
      </c>
      <c r="G11" s="14" t="s">
        <v>51</v>
      </c>
    </row>
    <row r="12" spans="1:7" ht="21.95" customHeight="1" x14ac:dyDescent="0.3">
      <c r="A12" s="1" t="s">
        <v>1161</v>
      </c>
      <c r="B12" s="111"/>
      <c r="C12" s="111"/>
      <c r="D12" s="33" t="s">
        <v>1162</v>
      </c>
      <c r="E12" s="16">
        <f>TRUNC(E10*0.0356, 0)</f>
        <v>0</v>
      </c>
      <c r="F12" s="14" t="s">
        <v>1163</v>
      </c>
      <c r="G12" s="14" t="s">
        <v>51</v>
      </c>
    </row>
    <row r="13" spans="1:7" ht="21.95" customHeight="1" x14ac:dyDescent="0.3">
      <c r="A13" s="1" t="s">
        <v>1164</v>
      </c>
      <c r="B13" s="111"/>
      <c r="C13" s="111"/>
      <c r="D13" s="33" t="s">
        <v>1165</v>
      </c>
      <c r="E13" s="16">
        <f>TRUNC(E10*0.0101, 0)</f>
        <v>0</v>
      </c>
      <c r="F13" s="14" t="s">
        <v>1166</v>
      </c>
      <c r="G13" s="14" t="s">
        <v>51</v>
      </c>
    </row>
    <row r="14" spans="1:7" ht="21.95" customHeight="1" x14ac:dyDescent="0.3">
      <c r="A14" s="1" t="s">
        <v>1167</v>
      </c>
      <c r="B14" s="111"/>
      <c r="C14" s="111"/>
      <c r="D14" s="33" t="s">
        <v>1168</v>
      </c>
      <c r="E14" s="16">
        <f>TRUNC(E8*0.03595, 0)</f>
        <v>0</v>
      </c>
      <c r="F14" s="14" t="s">
        <v>1169</v>
      </c>
      <c r="G14" s="14" t="s">
        <v>51</v>
      </c>
    </row>
    <row r="15" spans="1:7" ht="21.95" customHeight="1" x14ac:dyDescent="0.3">
      <c r="A15" s="1" t="s">
        <v>1170</v>
      </c>
      <c r="B15" s="111"/>
      <c r="C15" s="111"/>
      <c r="D15" s="33" t="s">
        <v>1171</v>
      </c>
      <c r="E15" s="16">
        <f>TRUNC(E8*0.0475, 0)</f>
        <v>0</v>
      </c>
      <c r="F15" s="14" t="s">
        <v>1172</v>
      </c>
      <c r="G15" s="14" t="s">
        <v>51</v>
      </c>
    </row>
    <row r="16" spans="1:7" ht="21.95" customHeight="1" x14ac:dyDescent="0.3">
      <c r="A16" s="1" t="s">
        <v>1173</v>
      </c>
      <c r="B16" s="111"/>
      <c r="C16" s="111"/>
      <c r="D16" s="33" t="s">
        <v>1174</v>
      </c>
      <c r="E16" s="16">
        <f>TRUNC(E8*0.023, 0)</f>
        <v>0</v>
      </c>
      <c r="F16" s="14" t="s">
        <v>1175</v>
      </c>
      <c r="G16" s="14" t="s">
        <v>51</v>
      </c>
    </row>
    <row r="17" spans="1:7" ht="21.95" customHeight="1" x14ac:dyDescent="0.3">
      <c r="A17" s="1" t="s">
        <v>1176</v>
      </c>
      <c r="B17" s="111"/>
      <c r="C17" s="111"/>
      <c r="D17" s="33" t="s">
        <v>1177</v>
      </c>
      <c r="E17" s="16">
        <f>TRUNC((E7+E8+(0/1.1))*0.0207, 0)</f>
        <v>0</v>
      </c>
      <c r="F17" s="14" t="s">
        <v>1178</v>
      </c>
      <c r="G17" s="14" t="s">
        <v>51</v>
      </c>
    </row>
    <row r="18" spans="1:7" ht="21.95" customHeight="1" x14ac:dyDescent="0.3">
      <c r="A18" s="1" t="s">
        <v>1179</v>
      </c>
      <c r="B18" s="111"/>
      <c r="C18" s="111"/>
      <c r="D18" s="33" t="s">
        <v>1180</v>
      </c>
      <c r="E18" s="16">
        <f>TRUNC(E14*0.1314, 0)</f>
        <v>0</v>
      </c>
      <c r="F18" s="14" t="s">
        <v>1181</v>
      </c>
      <c r="G18" s="14" t="s">
        <v>51</v>
      </c>
    </row>
    <row r="19" spans="1:7" ht="21.95" customHeight="1" x14ac:dyDescent="0.3">
      <c r="A19" s="1" t="s">
        <v>1182</v>
      </c>
      <c r="B19" s="111"/>
      <c r="C19" s="111"/>
      <c r="D19" s="33" t="s">
        <v>1183</v>
      </c>
      <c r="E19" s="16">
        <f>TRUNC((E7+E10)*0.05, 0)</f>
        <v>0</v>
      </c>
      <c r="F19" s="14" t="s">
        <v>1184</v>
      </c>
      <c r="G19" s="14" t="s">
        <v>51</v>
      </c>
    </row>
    <row r="20" spans="1:7" ht="21.95" customHeight="1" x14ac:dyDescent="0.3">
      <c r="A20" s="1" t="s">
        <v>1185</v>
      </c>
      <c r="B20" s="111"/>
      <c r="C20" s="111"/>
      <c r="D20" s="33" t="s">
        <v>1186</v>
      </c>
      <c r="E20" s="16">
        <f>TRUNC(E10*0.00006, 0)</f>
        <v>0</v>
      </c>
      <c r="F20" s="14" t="s">
        <v>1187</v>
      </c>
      <c r="G20" s="14" t="s">
        <v>51</v>
      </c>
    </row>
    <row r="21" spans="1:7" ht="21.95" customHeight="1" x14ac:dyDescent="0.3">
      <c r="A21" s="1" t="s">
        <v>1188</v>
      </c>
      <c r="B21" s="111"/>
      <c r="C21" s="111"/>
      <c r="D21" s="33" t="s">
        <v>1189</v>
      </c>
      <c r="E21" s="16">
        <f>TRUNC(E10*0.0009, 0)</f>
        <v>0</v>
      </c>
      <c r="F21" s="14" t="s">
        <v>1190</v>
      </c>
      <c r="G21" s="14" t="s">
        <v>51</v>
      </c>
    </row>
    <row r="22" spans="1:7" ht="21.95" customHeight="1" x14ac:dyDescent="0.3">
      <c r="A22" s="1" t="s">
        <v>1191</v>
      </c>
      <c r="B22" s="111"/>
      <c r="C22" s="111"/>
      <c r="D22" s="33" t="s">
        <v>1152</v>
      </c>
      <c r="E22" s="98">
        <f>TRUNC(E11+E12+E13+E14+E15+E16+E17+E18+E19+E20+E21, 0)</f>
        <v>0</v>
      </c>
      <c r="F22" s="14" t="s">
        <v>51</v>
      </c>
      <c r="G22" s="14" t="s">
        <v>51</v>
      </c>
    </row>
    <row r="23" spans="1:7" ht="21.95" customHeight="1" x14ac:dyDescent="0.3">
      <c r="A23" s="1" t="s">
        <v>1192</v>
      </c>
      <c r="B23" s="110" t="s">
        <v>1132</v>
      </c>
      <c r="C23" s="110"/>
      <c r="D23" s="110"/>
      <c r="E23" s="99">
        <f>TRUNC(E7+E10+E22, 0)</f>
        <v>0</v>
      </c>
      <c r="F23" s="14" t="s">
        <v>51</v>
      </c>
      <c r="G23" s="14" t="s">
        <v>51</v>
      </c>
    </row>
    <row r="24" spans="1:7" ht="21.95" customHeight="1" x14ac:dyDescent="0.3">
      <c r="A24" s="1" t="s">
        <v>1193</v>
      </c>
      <c r="B24" s="110" t="s">
        <v>1194</v>
      </c>
      <c r="C24" s="110"/>
      <c r="D24" s="110"/>
      <c r="E24" s="99">
        <f>TRUNC(E23*0.08, 0)</f>
        <v>0</v>
      </c>
      <c r="F24" s="14" t="s">
        <v>1195</v>
      </c>
      <c r="G24" s="14" t="s">
        <v>51</v>
      </c>
    </row>
    <row r="25" spans="1:7" ht="21.95" customHeight="1" x14ac:dyDescent="0.3">
      <c r="A25" s="1" t="s">
        <v>1196</v>
      </c>
      <c r="B25" s="110" t="s">
        <v>1197</v>
      </c>
      <c r="C25" s="110"/>
      <c r="D25" s="110"/>
      <c r="E25" s="99"/>
      <c r="F25" s="14" t="s">
        <v>1198</v>
      </c>
      <c r="G25" s="14" t="s">
        <v>51</v>
      </c>
    </row>
    <row r="26" spans="1:7" ht="21.95" customHeight="1" x14ac:dyDescent="0.3">
      <c r="A26" s="1" t="s">
        <v>1199</v>
      </c>
      <c r="B26" s="110" t="s">
        <v>1842</v>
      </c>
      <c r="C26" s="110"/>
      <c r="D26" s="110"/>
      <c r="E26" s="99">
        <f>TRUNC(E23+E24+E25, 0)</f>
        <v>0</v>
      </c>
      <c r="F26" s="14" t="s">
        <v>1843</v>
      </c>
      <c r="G26" s="14" t="s">
        <v>51</v>
      </c>
    </row>
    <row r="27" spans="1:7" ht="21.95" customHeight="1" x14ac:dyDescent="0.3">
      <c r="A27" s="1" t="s">
        <v>1200</v>
      </c>
      <c r="B27" s="110" t="s">
        <v>1201</v>
      </c>
      <c r="C27" s="110"/>
      <c r="D27" s="110"/>
      <c r="E27" s="99">
        <f>TRUNC((E23+E24+E25)*0.00364, 0)</f>
        <v>0</v>
      </c>
      <c r="F27" s="14" t="s">
        <v>1841</v>
      </c>
      <c r="G27" s="96" t="s">
        <v>1848</v>
      </c>
    </row>
    <row r="28" spans="1:7" ht="21.95" customHeight="1" x14ac:dyDescent="0.3">
      <c r="A28" s="9" t="s">
        <v>1202</v>
      </c>
      <c r="B28" s="110" t="s">
        <v>1844</v>
      </c>
      <c r="C28" s="110"/>
      <c r="D28" s="110"/>
      <c r="E28" s="97">
        <f>E26+E27</f>
        <v>0</v>
      </c>
      <c r="F28" s="14" t="s">
        <v>1845</v>
      </c>
      <c r="G28" s="14" t="s">
        <v>1847</v>
      </c>
    </row>
    <row r="29" spans="1:7" ht="21.95" customHeight="1" x14ac:dyDescent="0.3">
      <c r="A29" s="1" t="s">
        <v>1202</v>
      </c>
      <c r="B29" s="110" t="s">
        <v>1203</v>
      </c>
      <c r="C29" s="110"/>
      <c r="D29" s="110"/>
      <c r="E29" s="16">
        <f>TRUNC((E28)*0.1, 0)</f>
        <v>0</v>
      </c>
      <c r="F29" s="14" t="s">
        <v>1846</v>
      </c>
      <c r="G29" s="14" t="s">
        <v>51</v>
      </c>
    </row>
    <row r="30" spans="1:7" ht="21.95" customHeight="1" x14ac:dyDescent="0.3">
      <c r="A30" s="1" t="s">
        <v>1204</v>
      </c>
      <c r="B30" s="110" t="s">
        <v>1205</v>
      </c>
      <c r="C30" s="110"/>
      <c r="D30" s="110"/>
      <c r="E30" s="97">
        <f>TRUNC(E26+E27+E29, 0)</f>
        <v>0</v>
      </c>
      <c r="F30" s="14" t="s">
        <v>51</v>
      </c>
      <c r="G30" s="14" t="s">
        <v>51</v>
      </c>
    </row>
    <row r="31" spans="1:7" ht="21.95" customHeight="1" x14ac:dyDescent="0.3">
      <c r="A31" s="1" t="s">
        <v>1206</v>
      </c>
      <c r="B31" s="110" t="s">
        <v>1207</v>
      </c>
      <c r="C31" s="110"/>
      <c r="D31" s="110"/>
      <c r="E31" s="97">
        <f>TRUNC(E30+0, 0)</f>
        <v>0</v>
      </c>
      <c r="F31" s="14" t="s">
        <v>51</v>
      </c>
      <c r="G31" s="14" t="s">
        <v>51</v>
      </c>
    </row>
  </sheetData>
  <mergeCells count="17">
    <mergeCell ref="B30:D30"/>
    <mergeCell ref="B31:D31"/>
    <mergeCell ref="B23:D23"/>
    <mergeCell ref="B24:D24"/>
    <mergeCell ref="B25:D25"/>
    <mergeCell ref="B26:D26"/>
    <mergeCell ref="B27:D27"/>
    <mergeCell ref="B29:D29"/>
    <mergeCell ref="B28:D28"/>
    <mergeCell ref="B1:G1"/>
    <mergeCell ref="B2:E2"/>
    <mergeCell ref="F2:G2"/>
    <mergeCell ref="B3:D3"/>
    <mergeCell ref="B4:B22"/>
    <mergeCell ref="C4:C7"/>
    <mergeCell ref="C8:C10"/>
    <mergeCell ref="C11:C22"/>
  </mergeCells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9"/>
  <sheetViews>
    <sheetView workbookViewId="0">
      <selection activeCell="G10" sqref="G10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3">
      <c r="A2" s="6" t="s">
        <v>1901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 x14ac:dyDescent="0.3">
      <c r="A3" s="112" t="s">
        <v>2</v>
      </c>
      <c r="B3" s="112" t="s">
        <v>3</v>
      </c>
      <c r="C3" s="112" t="s">
        <v>4</v>
      </c>
      <c r="D3" s="112" t="s">
        <v>5</v>
      </c>
      <c r="E3" s="112" t="s">
        <v>6</v>
      </c>
      <c r="F3" s="112"/>
      <c r="G3" s="112" t="s">
        <v>9</v>
      </c>
      <c r="H3" s="112"/>
      <c r="I3" s="112" t="s">
        <v>10</v>
      </c>
      <c r="J3" s="112"/>
      <c r="K3" s="112" t="s">
        <v>11</v>
      </c>
      <c r="L3" s="112"/>
      <c r="M3" s="112" t="s">
        <v>12</v>
      </c>
      <c r="N3" s="114" t="s">
        <v>13</v>
      </c>
      <c r="O3" s="114" t="s">
        <v>14</v>
      </c>
      <c r="P3" s="114" t="s">
        <v>15</v>
      </c>
      <c r="Q3" s="114" t="s">
        <v>16</v>
      </c>
      <c r="R3" s="114" t="s">
        <v>17</v>
      </c>
      <c r="S3" s="114" t="s">
        <v>18</v>
      </c>
      <c r="T3" s="114" t="s">
        <v>19</v>
      </c>
    </row>
    <row r="4" spans="1:20" ht="30" customHeight="1" x14ac:dyDescent="0.3">
      <c r="A4" s="113"/>
      <c r="B4" s="113"/>
      <c r="C4" s="113"/>
      <c r="D4" s="113"/>
      <c r="E4" s="13" t="s">
        <v>7</v>
      </c>
      <c r="F4" s="13" t="s">
        <v>8</v>
      </c>
      <c r="G4" s="13" t="s">
        <v>7</v>
      </c>
      <c r="H4" s="13" t="s">
        <v>8</v>
      </c>
      <c r="I4" s="13" t="s">
        <v>7</v>
      </c>
      <c r="J4" s="13" t="s">
        <v>8</v>
      </c>
      <c r="K4" s="13" t="s">
        <v>7</v>
      </c>
      <c r="L4" s="13" t="s">
        <v>8</v>
      </c>
      <c r="M4" s="113"/>
      <c r="N4" s="114"/>
      <c r="O4" s="114"/>
      <c r="P4" s="114"/>
      <c r="Q4" s="114"/>
      <c r="R4" s="114"/>
      <c r="S4" s="114"/>
      <c r="T4" s="114"/>
    </row>
    <row r="5" spans="1:20" ht="30" customHeight="1" x14ac:dyDescent="0.3">
      <c r="A5" s="14" t="s">
        <v>1902</v>
      </c>
      <c r="B5" s="14" t="s">
        <v>51</v>
      </c>
      <c r="C5" s="14" t="s">
        <v>51</v>
      </c>
      <c r="D5" s="15"/>
      <c r="E5" s="16"/>
      <c r="F5" s="16"/>
      <c r="G5" s="16"/>
      <c r="H5" s="16"/>
      <c r="I5" s="16"/>
      <c r="J5" s="16"/>
      <c r="K5" s="16"/>
      <c r="L5" s="16"/>
      <c r="M5" s="14" t="s">
        <v>51</v>
      </c>
      <c r="N5" s="2" t="s">
        <v>52</v>
      </c>
      <c r="O5" s="2" t="s">
        <v>51</v>
      </c>
      <c r="P5" s="2" t="s">
        <v>51</v>
      </c>
      <c r="Q5" s="2" t="s">
        <v>51</v>
      </c>
      <c r="R5" s="3">
        <v>1</v>
      </c>
      <c r="S5" s="2" t="s">
        <v>51</v>
      </c>
      <c r="T5" s="12"/>
    </row>
    <row r="6" spans="1:20" ht="30" customHeight="1" x14ac:dyDescent="0.3">
      <c r="A6" s="14" t="s">
        <v>53</v>
      </c>
      <c r="B6" s="14" t="s">
        <v>51</v>
      </c>
      <c r="C6" s="14" t="s">
        <v>51</v>
      </c>
      <c r="D6" s="15"/>
      <c r="E6" s="16"/>
      <c r="F6" s="16"/>
      <c r="G6" s="16"/>
      <c r="H6" s="16"/>
      <c r="I6" s="16"/>
      <c r="J6" s="16"/>
      <c r="K6" s="16"/>
      <c r="L6" s="16"/>
      <c r="M6" s="14" t="s">
        <v>51</v>
      </c>
      <c r="N6" s="2" t="s">
        <v>54</v>
      </c>
      <c r="O6" s="2" t="s">
        <v>51</v>
      </c>
      <c r="P6" s="2" t="s">
        <v>52</v>
      </c>
      <c r="Q6" s="2" t="s">
        <v>51</v>
      </c>
      <c r="R6" s="3">
        <v>2</v>
      </c>
      <c r="S6" s="2" t="s">
        <v>51</v>
      </c>
      <c r="T6" s="12"/>
    </row>
    <row r="7" spans="1:20" ht="30" customHeight="1" x14ac:dyDescent="0.3">
      <c r="A7" s="14" t="s">
        <v>222</v>
      </c>
      <c r="B7" s="14" t="s">
        <v>51</v>
      </c>
      <c r="C7" s="14" t="s">
        <v>51</v>
      </c>
      <c r="D7" s="15"/>
      <c r="E7" s="16"/>
      <c r="F7" s="16"/>
      <c r="G7" s="16"/>
      <c r="H7" s="16"/>
      <c r="I7" s="16"/>
      <c r="J7" s="16"/>
      <c r="K7" s="16"/>
      <c r="L7" s="16"/>
      <c r="M7" s="14" t="s">
        <v>51</v>
      </c>
      <c r="N7" s="2" t="s">
        <v>223</v>
      </c>
      <c r="O7" s="2" t="s">
        <v>51</v>
      </c>
      <c r="P7" s="2" t="s">
        <v>52</v>
      </c>
      <c r="Q7" s="2" t="s">
        <v>51</v>
      </c>
      <c r="R7" s="3">
        <v>2</v>
      </c>
      <c r="S7" s="2" t="s">
        <v>51</v>
      </c>
      <c r="T7" s="12"/>
    </row>
    <row r="8" spans="1:20" ht="30" customHeight="1" x14ac:dyDescent="0.3">
      <c r="A8" s="14" t="s">
        <v>531</v>
      </c>
      <c r="B8" s="14" t="s">
        <v>51</v>
      </c>
      <c r="C8" s="14" t="s">
        <v>51</v>
      </c>
      <c r="D8" s="15"/>
      <c r="E8" s="16"/>
      <c r="F8" s="16"/>
      <c r="G8" s="16"/>
      <c r="H8" s="16"/>
      <c r="I8" s="16"/>
      <c r="J8" s="16"/>
      <c r="K8" s="16"/>
      <c r="L8" s="16"/>
      <c r="M8" s="14" t="s">
        <v>51</v>
      </c>
      <c r="N8" s="2" t="s">
        <v>532</v>
      </c>
      <c r="O8" s="2" t="s">
        <v>51</v>
      </c>
      <c r="P8" s="2" t="s">
        <v>52</v>
      </c>
      <c r="Q8" s="2" t="s">
        <v>51</v>
      </c>
      <c r="R8" s="3">
        <v>2</v>
      </c>
      <c r="S8" s="2" t="s">
        <v>51</v>
      </c>
      <c r="T8" s="12"/>
    </row>
    <row r="9" spans="1:20" ht="30" customHeight="1" x14ac:dyDescent="0.3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T9" s="11"/>
    </row>
    <row r="10" spans="1:20" ht="30" customHeight="1" x14ac:dyDescent="0.3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T10" s="11"/>
    </row>
    <row r="11" spans="1:20" ht="30" customHeight="1" x14ac:dyDescent="0.3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T11" s="11"/>
    </row>
    <row r="12" spans="1:20" ht="30" customHeight="1" x14ac:dyDescent="0.3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T12" s="11"/>
    </row>
    <row r="13" spans="1:20" ht="30" customHeight="1" x14ac:dyDescent="0.3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T13" s="11"/>
    </row>
    <row r="14" spans="1:20" ht="30" customHeight="1" x14ac:dyDescent="0.3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T14" s="11"/>
    </row>
    <row r="15" spans="1:20" ht="30" customHeight="1" x14ac:dyDescent="0.3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T15" s="11"/>
    </row>
    <row r="16" spans="1:20" ht="30" customHeight="1" x14ac:dyDescent="0.3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T16" s="11"/>
    </row>
    <row r="17" spans="1:20" ht="30" customHeight="1" x14ac:dyDescent="0.3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T17" s="11"/>
    </row>
    <row r="18" spans="1:20" ht="30" customHeight="1" x14ac:dyDescent="0.3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T18" s="11"/>
    </row>
    <row r="19" spans="1:20" ht="30" customHeight="1" x14ac:dyDescent="0.3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T19" s="11"/>
    </row>
    <row r="20" spans="1:20" ht="30" customHeight="1" x14ac:dyDescent="0.3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T20" s="11"/>
    </row>
    <row r="21" spans="1:20" ht="30" customHeight="1" x14ac:dyDescent="0.3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T21" s="11"/>
    </row>
    <row r="22" spans="1:20" ht="30" customHeight="1" x14ac:dyDescent="0.3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T22" s="11"/>
    </row>
    <row r="23" spans="1:20" ht="30" customHeight="1" x14ac:dyDescent="0.3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T23" s="11"/>
    </row>
    <row r="24" spans="1:20" ht="30" customHeight="1" x14ac:dyDescent="0.3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T24" s="11"/>
    </row>
    <row r="25" spans="1:20" ht="30" customHeight="1" x14ac:dyDescent="0.3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T25" s="11"/>
    </row>
    <row r="26" spans="1:20" ht="30" customHeight="1" x14ac:dyDescent="0.3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T26" s="11"/>
    </row>
    <row r="27" spans="1:20" ht="30" customHeight="1" x14ac:dyDescent="0.3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T27" s="11"/>
    </row>
    <row r="28" spans="1:20" ht="30" customHeight="1" x14ac:dyDescent="0.3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T28" s="11"/>
    </row>
    <row r="29" spans="1:20" ht="30" customHeight="1" x14ac:dyDescent="0.3">
      <c r="A29" s="14" t="s">
        <v>220</v>
      </c>
      <c r="B29" s="15"/>
      <c r="C29" s="15"/>
      <c r="D29" s="15"/>
      <c r="E29" s="15"/>
      <c r="F29" s="16">
        <f>F5</f>
        <v>0</v>
      </c>
      <c r="G29" s="15"/>
      <c r="H29" s="16">
        <f>H5</f>
        <v>0</v>
      </c>
      <c r="I29" s="15"/>
      <c r="J29" s="16">
        <f>J5</f>
        <v>0</v>
      </c>
      <c r="K29" s="15"/>
      <c r="L29" s="16">
        <f>L5</f>
        <v>0</v>
      </c>
      <c r="M29" s="15"/>
      <c r="T29" s="11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5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167"/>
  <sheetViews>
    <sheetView workbookViewId="0">
      <selection activeCell="G13" sqref="G13"/>
    </sheetView>
  </sheetViews>
  <sheetFormatPr defaultRowHeight="16.5" x14ac:dyDescent="0.3"/>
  <cols>
    <col min="1" max="2" width="30.625" customWidth="1"/>
    <col min="3" max="3" width="4.625" customWidth="1"/>
    <col min="4" max="4" width="8.625" style="42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  <col min="49" max="49" width="65.125" hidden="1" customWidth="1"/>
    <col min="50" max="50" width="9.25" bestFit="1" customWidth="1"/>
  </cols>
  <sheetData>
    <row r="1" spans="1:49" ht="30" customHeight="1" x14ac:dyDescent="0.3">
      <c r="A1" s="6" t="str">
        <f>공종별집계표!A2</f>
        <v>[ 사옥 이산화탄소 소화설비 교체공사 ]</v>
      </c>
      <c r="B1" s="7"/>
      <c r="C1" s="7"/>
      <c r="D1" s="40"/>
      <c r="E1" s="7"/>
      <c r="F1" s="7"/>
      <c r="G1" s="7"/>
      <c r="H1" s="7"/>
      <c r="I1" s="7"/>
      <c r="J1" s="7"/>
      <c r="K1" s="7"/>
      <c r="L1" s="7"/>
      <c r="M1" s="8"/>
    </row>
    <row r="2" spans="1:49" ht="30" customHeight="1" x14ac:dyDescent="0.3">
      <c r="A2" s="112" t="s">
        <v>2</v>
      </c>
      <c r="B2" s="112" t="s">
        <v>3</v>
      </c>
      <c r="C2" s="112" t="s">
        <v>4</v>
      </c>
      <c r="D2" s="115" t="s">
        <v>5</v>
      </c>
      <c r="E2" s="112" t="s">
        <v>6</v>
      </c>
      <c r="F2" s="112"/>
      <c r="G2" s="112" t="s">
        <v>9</v>
      </c>
      <c r="H2" s="112"/>
      <c r="I2" s="112" t="s">
        <v>10</v>
      </c>
      <c r="J2" s="112"/>
      <c r="K2" s="112" t="s">
        <v>11</v>
      </c>
      <c r="L2" s="112"/>
      <c r="M2" s="112" t="s">
        <v>12</v>
      </c>
      <c r="N2" s="114" t="s">
        <v>20</v>
      </c>
      <c r="O2" s="114" t="s">
        <v>14</v>
      </c>
      <c r="P2" s="114" t="s">
        <v>21</v>
      </c>
      <c r="Q2" s="114" t="s">
        <v>13</v>
      </c>
      <c r="R2" s="114" t="s">
        <v>22</v>
      </c>
      <c r="S2" s="114" t="s">
        <v>23</v>
      </c>
      <c r="T2" s="114" t="s">
        <v>24</v>
      </c>
      <c r="U2" s="114" t="s">
        <v>25</v>
      </c>
      <c r="V2" s="114" t="s">
        <v>26</v>
      </c>
      <c r="W2" s="114" t="s">
        <v>27</v>
      </c>
      <c r="X2" s="114" t="s">
        <v>28</v>
      </c>
      <c r="Y2" s="114" t="s">
        <v>29</v>
      </c>
      <c r="Z2" s="114" t="s">
        <v>30</v>
      </c>
      <c r="AA2" s="114" t="s">
        <v>31</v>
      </c>
      <c r="AB2" s="114" t="s">
        <v>32</v>
      </c>
      <c r="AC2" s="114" t="s">
        <v>33</v>
      </c>
      <c r="AD2" s="114" t="s">
        <v>34</v>
      </c>
      <c r="AE2" s="114" t="s">
        <v>35</v>
      </c>
      <c r="AF2" s="114" t="s">
        <v>36</v>
      </c>
      <c r="AG2" s="114" t="s">
        <v>37</v>
      </c>
      <c r="AH2" s="114" t="s">
        <v>38</v>
      </c>
      <c r="AI2" s="114" t="s">
        <v>39</v>
      </c>
      <c r="AJ2" s="114" t="s">
        <v>40</v>
      </c>
      <c r="AK2" s="114" t="s">
        <v>41</v>
      </c>
      <c r="AL2" s="114" t="s">
        <v>42</v>
      </c>
      <c r="AM2" s="114" t="s">
        <v>43</v>
      </c>
      <c r="AN2" s="114" t="s">
        <v>44</v>
      </c>
      <c r="AO2" s="114" t="s">
        <v>45</v>
      </c>
      <c r="AP2" s="114" t="s">
        <v>46</v>
      </c>
      <c r="AQ2" s="114" t="s">
        <v>47</v>
      </c>
      <c r="AR2" s="114" t="s">
        <v>48</v>
      </c>
      <c r="AS2" s="114" t="s">
        <v>16</v>
      </c>
      <c r="AT2" s="114" t="s">
        <v>17</v>
      </c>
      <c r="AU2" s="114" t="s">
        <v>49</v>
      </c>
      <c r="AV2" s="114" t="s">
        <v>50</v>
      </c>
    </row>
    <row r="3" spans="1:49" ht="30" customHeight="1" x14ac:dyDescent="0.3">
      <c r="A3" s="112"/>
      <c r="B3" s="112"/>
      <c r="C3" s="112"/>
      <c r="D3" s="115"/>
      <c r="E3" s="10" t="s">
        <v>7</v>
      </c>
      <c r="F3" s="10" t="s">
        <v>8</v>
      </c>
      <c r="G3" s="10" t="s">
        <v>7</v>
      </c>
      <c r="H3" s="10" t="s">
        <v>8</v>
      </c>
      <c r="I3" s="10" t="s">
        <v>7</v>
      </c>
      <c r="J3" s="10" t="s">
        <v>8</v>
      </c>
      <c r="K3" s="10" t="s">
        <v>7</v>
      </c>
      <c r="L3" s="10" t="s">
        <v>8</v>
      </c>
      <c r="M3" s="112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114"/>
      <c r="AN3" s="114"/>
      <c r="AO3" s="114"/>
      <c r="AP3" s="114"/>
      <c r="AQ3" s="114"/>
      <c r="AR3" s="114"/>
      <c r="AS3" s="114"/>
      <c r="AT3" s="114"/>
      <c r="AU3" s="114"/>
      <c r="AV3" s="114"/>
    </row>
    <row r="4" spans="1:49" ht="30" customHeight="1" x14ac:dyDescent="0.3">
      <c r="A4" s="17" t="s">
        <v>53</v>
      </c>
      <c r="B4" s="17" t="s">
        <v>51</v>
      </c>
      <c r="C4" s="15"/>
      <c r="D4" s="41"/>
      <c r="E4" s="16"/>
      <c r="F4" s="16"/>
      <c r="G4" s="16"/>
      <c r="H4" s="16"/>
      <c r="I4" s="16"/>
      <c r="J4" s="16"/>
      <c r="K4" s="16"/>
      <c r="L4" s="16"/>
      <c r="M4" s="15"/>
      <c r="N4" s="3"/>
      <c r="O4" s="3"/>
      <c r="P4" s="3"/>
      <c r="Q4" s="2" t="s">
        <v>54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9" ht="30" customHeight="1" x14ac:dyDescent="0.3">
      <c r="A5" s="17" t="s">
        <v>55</v>
      </c>
      <c r="B5" s="17" t="s">
        <v>56</v>
      </c>
      <c r="C5" s="17" t="s">
        <v>57</v>
      </c>
      <c r="D5" s="41"/>
      <c r="E5" s="16"/>
      <c r="F5" s="16"/>
      <c r="G5" s="16"/>
      <c r="H5" s="16"/>
      <c r="I5" s="16"/>
      <c r="J5" s="16"/>
      <c r="K5" s="16"/>
      <c r="L5" s="16"/>
      <c r="M5" s="17" t="s">
        <v>58</v>
      </c>
      <c r="N5" s="2" t="s">
        <v>59</v>
      </c>
      <c r="O5" s="2" t="s">
        <v>51</v>
      </c>
      <c r="P5" s="2" t="s">
        <v>51</v>
      </c>
      <c r="Q5" s="2" t="s">
        <v>54</v>
      </c>
      <c r="R5" s="2" t="s">
        <v>60</v>
      </c>
      <c r="S5" s="2" t="s">
        <v>61</v>
      </c>
      <c r="T5" s="2" t="s">
        <v>61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51</v>
      </c>
      <c r="AS5" s="2" t="s">
        <v>51</v>
      </c>
      <c r="AT5" s="3"/>
      <c r="AU5" s="2" t="s">
        <v>62</v>
      </c>
      <c r="AV5" s="3">
        <v>21</v>
      </c>
      <c r="AW5" t="str">
        <f>CONCATENATE(A5," ",B5)</f>
        <v>450/75OV 저독성난연가교폴리올레핀절연전선(HFIX) 1.38㎜</v>
      </c>
    </row>
    <row r="6" spans="1:49" ht="30" customHeight="1" x14ac:dyDescent="0.3">
      <c r="A6" s="17" t="s">
        <v>55</v>
      </c>
      <c r="B6" s="100" t="s">
        <v>1255</v>
      </c>
      <c r="C6" s="101" t="s">
        <v>57</v>
      </c>
      <c r="D6" s="102"/>
      <c r="E6" s="103"/>
      <c r="F6" s="103"/>
      <c r="G6" s="104"/>
      <c r="H6" s="104"/>
      <c r="I6" s="103"/>
      <c r="J6" s="103"/>
      <c r="K6" s="103"/>
      <c r="L6" s="103"/>
      <c r="M6" s="17" t="s">
        <v>58</v>
      </c>
      <c r="N6" s="2" t="s">
        <v>59</v>
      </c>
      <c r="O6" s="2" t="s">
        <v>51</v>
      </c>
      <c r="P6" s="2" t="s">
        <v>51</v>
      </c>
      <c r="Q6" s="2" t="s">
        <v>54</v>
      </c>
      <c r="R6" s="2" t="s">
        <v>60</v>
      </c>
      <c r="S6" s="2" t="s">
        <v>61</v>
      </c>
      <c r="T6" s="2" t="s">
        <v>61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51</v>
      </c>
      <c r="AS6" s="2" t="s">
        <v>51</v>
      </c>
      <c r="AT6" s="3"/>
      <c r="AU6" s="2" t="s">
        <v>62</v>
      </c>
      <c r="AV6" s="3">
        <v>21</v>
      </c>
      <c r="AW6" t="str">
        <f t="shared" ref="AW6:AW70" si="0">CONCATENATE(A6," ",B6)</f>
        <v>450/75OV 저독성난연가교폴리올레핀절연전선(HFIX) HFIX, 1.38㎜ (할증분 10%)</v>
      </c>
    </row>
    <row r="7" spans="1:49" ht="30" customHeight="1" x14ac:dyDescent="0.3">
      <c r="A7" s="17" t="s">
        <v>55</v>
      </c>
      <c r="B7" s="17" t="s">
        <v>63</v>
      </c>
      <c r="C7" s="17" t="s">
        <v>57</v>
      </c>
      <c r="D7" s="41"/>
      <c r="E7" s="16"/>
      <c r="F7" s="16"/>
      <c r="G7" s="16"/>
      <c r="H7" s="16"/>
      <c r="I7" s="16"/>
      <c r="J7" s="16"/>
      <c r="K7" s="16"/>
      <c r="L7" s="16"/>
      <c r="M7" s="17" t="s">
        <v>64</v>
      </c>
      <c r="N7" s="2" t="s">
        <v>65</v>
      </c>
      <c r="O7" s="2" t="s">
        <v>51</v>
      </c>
      <c r="P7" s="2" t="s">
        <v>51</v>
      </c>
      <c r="Q7" s="2" t="s">
        <v>54</v>
      </c>
      <c r="R7" s="2" t="s">
        <v>60</v>
      </c>
      <c r="S7" s="2" t="s">
        <v>61</v>
      </c>
      <c r="T7" s="2" t="s">
        <v>61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51</v>
      </c>
      <c r="AS7" s="2" t="s">
        <v>51</v>
      </c>
      <c r="AT7" s="3"/>
      <c r="AU7" s="2" t="s">
        <v>66</v>
      </c>
      <c r="AV7" s="3">
        <v>22</v>
      </c>
      <c r="AW7" t="str">
        <f t="shared" si="0"/>
        <v>450/75OV 저독성난연가교폴리올레핀절연전선(HFIX) 1.78㎜</v>
      </c>
    </row>
    <row r="8" spans="1:49" ht="30" customHeight="1" x14ac:dyDescent="0.3">
      <c r="A8" s="17" t="s">
        <v>55</v>
      </c>
      <c r="B8" s="100" t="s">
        <v>1302</v>
      </c>
      <c r="C8" s="101" t="s">
        <v>57</v>
      </c>
      <c r="D8" s="102"/>
      <c r="E8" s="103"/>
      <c r="F8" s="103"/>
      <c r="G8" s="104"/>
      <c r="H8" s="104"/>
      <c r="I8" s="103"/>
      <c r="J8" s="103"/>
      <c r="K8" s="103"/>
      <c r="L8" s="103"/>
      <c r="M8" s="17" t="s">
        <v>64</v>
      </c>
      <c r="N8" s="2" t="s">
        <v>65</v>
      </c>
      <c r="O8" s="2" t="s">
        <v>51</v>
      </c>
      <c r="P8" s="2" t="s">
        <v>51</v>
      </c>
      <c r="Q8" s="2" t="s">
        <v>54</v>
      </c>
      <c r="R8" s="2" t="s">
        <v>60</v>
      </c>
      <c r="S8" s="2" t="s">
        <v>61</v>
      </c>
      <c r="T8" s="2" t="s">
        <v>61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51</v>
      </c>
      <c r="AS8" s="2" t="s">
        <v>51</v>
      </c>
      <c r="AT8" s="3"/>
      <c r="AU8" s="2" t="s">
        <v>66</v>
      </c>
      <c r="AV8" s="3">
        <v>22</v>
      </c>
      <c r="AW8" t="str">
        <f t="shared" si="0"/>
        <v>450/75OV 저독성난연가교폴리올레핀절연전선(HFIX) HFIX, 1.78㎜(할증분 10%)</v>
      </c>
    </row>
    <row r="9" spans="1:49" ht="30" customHeight="1" x14ac:dyDescent="0.3">
      <c r="A9" s="17" t="s">
        <v>67</v>
      </c>
      <c r="B9" s="17" t="s">
        <v>68</v>
      </c>
      <c r="C9" s="17" t="s">
        <v>57</v>
      </c>
      <c r="D9" s="41"/>
      <c r="E9" s="16"/>
      <c r="F9" s="16"/>
      <c r="G9" s="16"/>
      <c r="H9" s="16"/>
      <c r="I9" s="16"/>
      <c r="J9" s="16"/>
      <c r="K9" s="16"/>
      <c r="L9" s="16"/>
      <c r="M9" s="17" t="s">
        <v>69</v>
      </c>
      <c r="N9" s="2" t="s">
        <v>70</v>
      </c>
      <c r="O9" s="2" t="s">
        <v>51</v>
      </c>
      <c r="P9" s="2" t="s">
        <v>51</v>
      </c>
      <c r="Q9" s="2" t="s">
        <v>54</v>
      </c>
      <c r="R9" s="2" t="s">
        <v>60</v>
      </c>
      <c r="S9" s="2" t="s">
        <v>61</v>
      </c>
      <c r="T9" s="2" t="s">
        <v>61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51</v>
      </c>
      <c r="AS9" s="2" t="s">
        <v>51</v>
      </c>
      <c r="AT9" s="3"/>
      <c r="AU9" s="2" t="s">
        <v>71</v>
      </c>
      <c r="AV9" s="3">
        <v>23</v>
      </c>
      <c r="AW9" t="str">
        <f t="shared" si="0"/>
        <v>0.6/1kV 내화 케이블 (F-FR-8) 3C 2.5㎟</v>
      </c>
    </row>
    <row r="10" spans="1:49" ht="30" customHeight="1" x14ac:dyDescent="0.3">
      <c r="A10" s="17" t="s">
        <v>67</v>
      </c>
      <c r="B10" s="100" t="s">
        <v>1306</v>
      </c>
      <c r="C10" s="101" t="s">
        <v>57</v>
      </c>
      <c r="D10" s="102"/>
      <c r="E10" s="103"/>
      <c r="F10" s="103"/>
      <c r="G10" s="104"/>
      <c r="H10" s="104"/>
      <c r="I10" s="103"/>
      <c r="J10" s="103"/>
      <c r="K10" s="103"/>
      <c r="L10" s="103"/>
      <c r="M10" s="17" t="s">
        <v>69</v>
      </c>
      <c r="N10" s="2" t="s">
        <v>70</v>
      </c>
      <c r="O10" s="2" t="s">
        <v>51</v>
      </c>
      <c r="P10" s="2" t="s">
        <v>51</v>
      </c>
      <c r="Q10" s="2" t="s">
        <v>54</v>
      </c>
      <c r="R10" s="2" t="s">
        <v>60</v>
      </c>
      <c r="S10" s="2" t="s">
        <v>61</v>
      </c>
      <c r="T10" s="2" t="s">
        <v>61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51</v>
      </c>
      <c r="AS10" s="2" t="s">
        <v>51</v>
      </c>
      <c r="AT10" s="3"/>
      <c r="AU10" s="2" t="s">
        <v>71</v>
      </c>
      <c r="AV10" s="3">
        <v>23</v>
      </c>
      <c r="AW10" t="str">
        <f t="shared" si="0"/>
        <v>0.6/1kV 내화 케이블 (F-FR-8) 3C*2.5㎟ (할증분 5%)</v>
      </c>
    </row>
    <row r="11" spans="1:49" ht="30" customHeight="1" x14ac:dyDescent="0.3">
      <c r="A11" s="17" t="s">
        <v>72</v>
      </c>
      <c r="B11" s="17" t="s">
        <v>73</v>
      </c>
      <c r="C11" s="17" t="s">
        <v>74</v>
      </c>
      <c r="D11" s="41"/>
      <c r="E11" s="16"/>
      <c r="F11" s="16"/>
      <c r="G11" s="16"/>
      <c r="H11" s="16"/>
      <c r="I11" s="16"/>
      <c r="J11" s="16"/>
      <c r="K11" s="16"/>
      <c r="L11" s="16"/>
      <c r="M11" s="17" t="s">
        <v>75</v>
      </c>
      <c r="N11" s="2" t="s">
        <v>76</v>
      </c>
      <c r="O11" s="2" t="s">
        <v>51</v>
      </c>
      <c r="P11" s="2" t="s">
        <v>51</v>
      </c>
      <c r="Q11" s="2" t="s">
        <v>54</v>
      </c>
      <c r="R11" s="2" t="s">
        <v>60</v>
      </c>
      <c r="S11" s="2" t="s">
        <v>61</v>
      </c>
      <c r="T11" s="2" t="s">
        <v>61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2" t="s">
        <v>51</v>
      </c>
      <c r="AS11" s="2" t="s">
        <v>51</v>
      </c>
      <c r="AT11" s="3"/>
      <c r="AU11" s="2" t="s">
        <v>77</v>
      </c>
      <c r="AV11" s="3">
        <v>14</v>
      </c>
      <c r="AW11" t="str">
        <f t="shared" si="0"/>
        <v>강제 전선관 아연도  16 mm</v>
      </c>
    </row>
    <row r="12" spans="1:49" ht="30" customHeight="1" x14ac:dyDescent="0.3">
      <c r="A12" s="17" t="s">
        <v>72</v>
      </c>
      <c r="B12" s="101" t="s">
        <v>1307</v>
      </c>
      <c r="C12" s="101" t="s">
        <v>74</v>
      </c>
      <c r="D12" s="102"/>
      <c r="E12" s="103"/>
      <c r="F12" s="103"/>
      <c r="G12" s="104"/>
      <c r="H12" s="104"/>
      <c r="I12" s="103"/>
      <c r="J12" s="103"/>
      <c r="K12" s="103"/>
      <c r="L12" s="103"/>
      <c r="M12" s="17" t="s">
        <v>75</v>
      </c>
      <c r="N12" s="2" t="s">
        <v>76</v>
      </c>
      <c r="O12" s="2" t="s">
        <v>51</v>
      </c>
      <c r="P12" s="2" t="s">
        <v>51</v>
      </c>
      <c r="Q12" s="2" t="s">
        <v>54</v>
      </c>
      <c r="R12" s="2" t="s">
        <v>60</v>
      </c>
      <c r="S12" s="2" t="s">
        <v>61</v>
      </c>
      <c r="T12" s="2" t="s">
        <v>61</v>
      </c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2" t="s">
        <v>51</v>
      </c>
      <c r="AS12" s="2" t="s">
        <v>51</v>
      </c>
      <c r="AT12" s="3"/>
      <c r="AU12" s="2" t="s">
        <v>77</v>
      </c>
      <c r="AV12" s="3">
        <v>14</v>
      </c>
      <c r="AW12" t="str">
        <f t="shared" si="0"/>
        <v>강제 전선관 아연도  16 mm(할증분 10%)</v>
      </c>
    </row>
    <row r="13" spans="1:49" ht="30" customHeight="1" x14ac:dyDescent="0.3">
      <c r="A13" s="17" t="s">
        <v>72</v>
      </c>
      <c r="B13" s="17" t="s">
        <v>78</v>
      </c>
      <c r="C13" s="17" t="s">
        <v>74</v>
      </c>
      <c r="D13" s="41"/>
      <c r="E13" s="16"/>
      <c r="F13" s="16"/>
      <c r="G13" s="16"/>
      <c r="H13" s="16"/>
      <c r="I13" s="16"/>
      <c r="J13" s="16"/>
      <c r="K13" s="16"/>
      <c r="L13" s="16"/>
      <c r="M13" s="17" t="s">
        <v>79</v>
      </c>
      <c r="N13" s="2" t="s">
        <v>80</v>
      </c>
      <c r="O13" s="2" t="s">
        <v>51</v>
      </c>
      <c r="P13" s="2" t="s">
        <v>51</v>
      </c>
      <c r="Q13" s="2" t="s">
        <v>54</v>
      </c>
      <c r="R13" s="2" t="s">
        <v>60</v>
      </c>
      <c r="S13" s="2" t="s">
        <v>61</v>
      </c>
      <c r="T13" s="2" t="s">
        <v>61</v>
      </c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2" t="s">
        <v>51</v>
      </c>
      <c r="AS13" s="2" t="s">
        <v>51</v>
      </c>
      <c r="AT13" s="3"/>
      <c r="AU13" s="2" t="s">
        <v>81</v>
      </c>
      <c r="AV13" s="3">
        <v>15</v>
      </c>
      <c r="AW13" t="str">
        <f t="shared" si="0"/>
        <v>강제 전선관 아연도  22 mm</v>
      </c>
    </row>
    <row r="14" spans="1:49" ht="30" customHeight="1" x14ac:dyDescent="0.3">
      <c r="A14" s="17" t="s">
        <v>72</v>
      </c>
      <c r="B14" s="101" t="s">
        <v>1308</v>
      </c>
      <c r="C14" s="101" t="s">
        <v>74</v>
      </c>
      <c r="D14" s="102"/>
      <c r="E14" s="103"/>
      <c r="F14" s="103"/>
      <c r="G14" s="104"/>
      <c r="H14" s="104"/>
      <c r="I14" s="103"/>
      <c r="J14" s="103"/>
      <c r="K14" s="103"/>
      <c r="L14" s="103"/>
      <c r="M14" s="17" t="s">
        <v>79</v>
      </c>
      <c r="N14" s="2" t="s">
        <v>80</v>
      </c>
      <c r="O14" s="2" t="s">
        <v>51</v>
      </c>
      <c r="P14" s="2" t="s">
        <v>51</v>
      </c>
      <c r="Q14" s="2" t="s">
        <v>54</v>
      </c>
      <c r="R14" s="2" t="s">
        <v>60</v>
      </c>
      <c r="S14" s="2" t="s">
        <v>61</v>
      </c>
      <c r="T14" s="2" t="s">
        <v>61</v>
      </c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2" t="s">
        <v>51</v>
      </c>
      <c r="AS14" s="2" t="s">
        <v>51</v>
      </c>
      <c r="AT14" s="3"/>
      <c r="AU14" s="2" t="s">
        <v>81</v>
      </c>
      <c r="AV14" s="3">
        <v>15</v>
      </c>
      <c r="AW14" t="str">
        <f t="shared" si="0"/>
        <v>강제 전선관 아연도  22 mm(할증분 10%)</v>
      </c>
    </row>
    <row r="15" spans="1:49" ht="30" customHeight="1" x14ac:dyDescent="0.3">
      <c r="A15" s="17" t="s">
        <v>72</v>
      </c>
      <c r="B15" s="17" t="s">
        <v>82</v>
      </c>
      <c r="C15" s="17" t="s">
        <v>74</v>
      </c>
      <c r="D15" s="41"/>
      <c r="E15" s="16"/>
      <c r="F15" s="16"/>
      <c r="G15" s="16"/>
      <c r="H15" s="16"/>
      <c r="I15" s="16"/>
      <c r="J15" s="16"/>
      <c r="K15" s="16"/>
      <c r="L15" s="16"/>
      <c r="M15" s="17" t="s">
        <v>83</v>
      </c>
      <c r="N15" s="2" t="s">
        <v>84</v>
      </c>
      <c r="O15" s="2" t="s">
        <v>51</v>
      </c>
      <c r="P15" s="2" t="s">
        <v>51</v>
      </c>
      <c r="Q15" s="2" t="s">
        <v>54</v>
      </c>
      <c r="R15" s="2" t="s">
        <v>60</v>
      </c>
      <c r="S15" s="2" t="s">
        <v>61</v>
      </c>
      <c r="T15" s="2" t="s">
        <v>61</v>
      </c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2" t="s">
        <v>51</v>
      </c>
      <c r="AS15" s="2" t="s">
        <v>51</v>
      </c>
      <c r="AT15" s="3"/>
      <c r="AU15" s="2" t="s">
        <v>85</v>
      </c>
      <c r="AV15" s="3">
        <v>16</v>
      </c>
      <c r="AW15" t="str">
        <f t="shared" si="0"/>
        <v>강제 전선관 아연도  28 mm</v>
      </c>
    </row>
    <row r="16" spans="1:49" ht="30" customHeight="1" x14ac:dyDescent="0.3">
      <c r="A16" s="17" t="s">
        <v>72</v>
      </c>
      <c r="B16" s="101" t="s">
        <v>1309</v>
      </c>
      <c r="C16" s="101" t="s">
        <v>74</v>
      </c>
      <c r="D16" s="102"/>
      <c r="E16" s="103"/>
      <c r="F16" s="103"/>
      <c r="G16" s="104"/>
      <c r="H16" s="104"/>
      <c r="I16" s="103"/>
      <c r="J16" s="103"/>
      <c r="K16" s="103"/>
      <c r="L16" s="103"/>
      <c r="M16" s="17" t="s">
        <v>83</v>
      </c>
      <c r="N16" s="2" t="s">
        <v>84</v>
      </c>
      <c r="O16" s="2" t="s">
        <v>51</v>
      </c>
      <c r="P16" s="2" t="s">
        <v>51</v>
      </c>
      <c r="Q16" s="2" t="s">
        <v>54</v>
      </c>
      <c r="R16" s="2" t="s">
        <v>60</v>
      </c>
      <c r="S16" s="2" t="s">
        <v>61</v>
      </c>
      <c r="T16" s="2" t="s">
        <v>61</v>
      </c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2" t="s">
        <v>51</v>
      </c>
      <c r="AS16" s="2" t="s">
        <v>51</v>
      </c>
      <c r="AT16" s="3"/>
      <c r="AU16" s="2" t="s">
        <v>85</v>
      </c>
      <c r="AV16" s="3">
        <v>16</v>
      </c>
      <c r="AW16" t="str">
        <f t="shared" si="0"/>
        <v>강제 전선관 아연도  28 mm(할증분 10%)</v>
      </c>
    </row>
    <row r="17" spans="1:50" ht="30" customHeight="1" x14ac:dyDescent="0.3">
      <c r="A17" s="17" t="s">
        <v>86</v>
      </c>
      <c r="B17" s="17" t="s">
        <v>87</v>
      </c>
      <c r="C17" s="17" t="s">
        <v>74</v>
      </c>
      <c r="D17" s="41"/>
      <c r="E17" s="16"/>
      <c r="F17" s="16"/>
      <c r="G17" s="16"/>
      <c r="H17" s="16"/>
      <c r="I17" s="16"/>
      <c r="J17" s="16"/>
      <c r="K17" s="16"/>
      <c r="L17" s="16"/>
      <c r="M17" s="17" t="s">
        <v>88</v>
      </c>
      <c r="N17" s="2" t="s">
        <v>89</v>
      </c>
      <c r="O17" s="2" t="s">
        <v>51</v>
      </c>
      <c r="P17" s="2" t="s">
        <v>51</v>
      </c>
      <c r="Q17" s="2" t="s">
        <v>54</v>
      </c>
      <c r="R17" s="2" t="s">
        <v>60</v>
      </c>
      <c r="S17" s="2" t="s">
        <v>61</v>
      </c>
      <c r="T17" s="2" t="s">
        <v>61</v>
      </c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2" t="s">
        <v>51</v>
      </c>
      <c r="AS17" s="2" t="s">
        <v>51</v>
      </c>
      <c r="AT17" s="3"/>
      <c r="AU17" s="2" t="s">
        <v>90</v>
      </c>
      <c r="AV17" s="3">
        <v>17</v>
      </c>
      <c r="AW17" t="str">
        <f t="shared" si="0"/>
        <v>1종금속제가요전선관 16 mm 비방수</v>
      </c>
    </row>
    <row r="18" spans="1:50" ht="30" customHeight="1" x14ac:dyDescent="0.3">
      <c r="A18" s="17" t="s">
        <v>86</v>
      </c>
      <c r="B18" s="101" t="s">
        <v>1310</v>
      </c>
      <c r="C18" s="101" t="s">
        <v>74</v>
      </c>
      <c r="D18" s="102"/>
      <c r="E18" s="103"/>
      <c r="F18" s="103"/>
      <c r="G18" s="104"/>
      <c r="H18" s="104"/>
      <c r="I18" s="103"/>
      <c r="J18" s="103"/>
      <c r="K18" s="103"/>
      <c r="L18" s="103"/>
      <c r="M18" s="17" t="s">
        <v>88</v>
      </c>
      <c r="N18" s="2" t="s">
        <v>89</v>
      </c>
      <c r="O18" s="2" t="s">
        <v>51</v>
      </c>
      <c r="P18" s="2" t="s">
        <v>51</v>
      </c>
      <c r="Q18" s="2" t="s">
        <v>54</v>
      </c>
      <c r="R18" s="2" t="s">
        <v>60</v>
      </c>
      <c r="S18" s="2" t="s">
        <v>61</v>
      </c>
      <c r="T18" s="2" t="s">
        <v>61</v>
      </c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2" t="s">
        <v>51</v>
      </c>
      <c r="AS18" s="2" t="s">
        <v>51</v>
      </c>
      <c r="AT18" s="3"/>
      <c r="AU18" s="2" t="s">
        <v>90</v>
      </c>
      <c r="AV18" s="3">
        <v>17</v>
      </c>
      <c r="AW18" t="str">
        <f t="shared" si="0"/>
        <v>1종금속제가요전선관 16 mm 비방수(할증분 10%)</v>
      </c>
    </row>
    <row r="19" spans="1:50" ht="30" customHeight="1" x14ac:dyDescent="0.3">
      <c r="A19" s="17" t="s">
        <v>1858</v>
      </c>
      <c r="B19" s="17" t="s">
        <v>1859</v>
      </c>
      <c r="C19" s="17" t="s">
        <v>1866</v>
      </c>
      <c r="D19" s="41"/>
      <c r="E19" s="16"/>
      <c r="F19" s="16"/>
      <c r="G19" s="105"/>
      <c r="H19" s="105"/>
      <c r="I19" s="16"/>
      <c r="J19" s="16"/>
      <c r="K19" s="16"/>
      <c r="L19" s="16"/>
      <c r="M19" s="17" t="s">
        <v>94</v>
      </c>
      <c r="N19" s="2" t="s">
        <v>95</v>
      </c>
      <c r="O19" s="2" t="s">
        <v>51</v>
      </c>
      <c r="P19" s="2" t="s">
        <v>51</v>
      </c>
      <c r="Q19" s="2" t="s">
        <v>54</v>
      </c>
      <c r="R19" s="2" t="s">
        <v>60</v>
      </c>
      <c r="S19" s="2" t="s">
        <v>61</v>
      </c>
      <c r="T19" s="2" t="s">
        <v>61</v>
      </c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2" t="s">
        <v>51</v>
      </c>
      <c r="AS19" s="2" t="s">
        <v>51</v>
      </c>
      <c r="AT19" s="3"/>
      <c r="AU19" s="2" t="s">
        <v>96</v>
      </c>
      <c r="AV19" s="3">
        <v>18</v>
      </c>
      <c r="AW19" t="str">
        <f t="shared" si="0"/>
        <v>케이블클램프 케이블클램프, 접지크램프, 16C</v>
      </c>
    </row>
    <row r="20" spans="1:50" ht="30" customHeight="1" x14ac:dyDescent="0.3">
      <c r="A20" s="17" t="s">
        <v>1862</v>
      </c>
      <c r="B20" s="17" t="s">
        <v>1860</v>
      </c>
      <c r="C20" s="17" t="s">
        <v>1866</v>
      </c>
      <c r="D20" s="41"/>
      <c r="E20" s="16"/>
      <c r="F20" s="16"/>
      <c r="G20" s="105"/>
      <c r="H20" s="105"/>
      <c r="I20" s="16"/>
      <c r="J20" s="16"/>
      <c r="K20" s="16"/>
      <c r="L20" s="16"/>
      <c r="M20" s="17" t="s">
        <v>98</v>
      </c>
      <c r="N20" s="2" t="s">
        <v>99</v>
      </c>
      <c r="O20" s="2" t="s">
        <v>51</v>
      </c>
      <c r="P20" s="2" t="s">
        <v>51</v>
      </c>
      <c r="Q20" s="2" t="s">
        <v>54</v>
      </c>
      <c r="R20" s="2" t="s">
        <v>60</v>
      </c>
      <c r="S20" s="2" t="s">
        <v>61</v>
      </c>
      <c r="T20" s="2" t="s">
        <v>61</v>
      </c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2" t="s">
        <v>51</v>
      </c>
      <c r="AS20" s="2" t="s">
        <v>51</v>
      </c>
      <c r="AT20" s="3"/>
      <c r="AU20" s="2" t="s">
        <v>100</v>
      </c>
      <c r="AV20" s="3">
        <v>19</v>
      </c>
      <c r="AW20" t="str">
        <f t="shared" si="0"/>
        <v>케이블클램프 케이블클램프, 접지크램프, 22C</v>
      </c>
    </row>
    <row r="21" spans="1:50" ht="30" customHeight="1" x14ac:dyDescent="0.3">
      <c r="A21" s="17" t="s">
        <v>1858</v>
      </c>
      <c r="B21" s="17" t="s">
        <v>1861</v>
      </c>
      <c r="C21" s="17" t="s">
        <v>1866</v>
      </c>
      <c r="D21" s="41"/>
      <c r="E21" s="16"/>
      <c r="F21" s="16"/>
      <c r="G21" s="105"/>
      <c r="H21" s="105"/>
      <c r="I21" s="16"/>
      <c r="J21" s="16"/>
      <c r="K21" s="16"/>
      <c r="L21" s="16"/>
      <c r="M21" s="17" t="s">
        <v>102</v>
      </c>
      <c r="N21" s="2" t="s">
        <v>103</v>
      </c>
      <c r="O21" s="2" t="s">
        <v>51</v>
      </c>
      <c r="P21" s="2" t="s">
        <v>51</v>
      </c>
      <c r="Q21" s="2" t="s">
        <v>54</v>
      </c>
      <c r="R21" s="2" t="s">
        <v>60</v>
      </c>
      <c r="S21" s="2" t="s">
        <v>61</v>
      </c>
      <c r="T21" s="2" t="s">
        <v>61</v>
      </c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2" t="s">
        <v>51</v>
      </c>
      <c r="AS21" s="2" t="s">
        <v>51</v>
      </c>
      <c r="AT21" s="3"/>
      <c r="AU21" s="2" t="s">
        <v>104</v>
      </c>
      <c r="AV21" s="3">
        <v>20</v>
      </c>
      <c r="AW21" t="str">
        <f t="shared" ref="AW21" si="1">CONCATENATE(A21," ",B21)</f>
        <v>케이블클램프 케이블클램프, 접지크램프, 28C</v>
      </c>
      <c r="AX21" s="11"/>
    </row>
    <row r="22" spans="1:50" ht="30" customHeight="1" x14ac:dyDescent="0.3">
      <c r="A22" s="17" t="s">
        <v>1867</v>
      </c>
      <c r="B22" s="17" t="s">
        <v>1868</v>
      </c>
      <c r="C22" s="17" t="s">
        <v>1853</v>
      </c>
      <c r="D22" s="41"/>
      <c r="E22" s="16"/>
      <c r="F22" s="16"/>
      <c r="G22" s="16"/>
      <c r="H22" s="16"/>
      <c r="I22" s="16"/>
      <c r="J22" s="16"/>
      <c r="K22" s="16"/>
      <c r="L22" s="16"/>
      <c r="M22" s="17" t="s">
        <v>1888</v>
      </c>
      <c r="N22" s="2" t="s">
        <v>103</v>
      </c>
      <c r="O22" s="2" t="s">
        <v>51</v>
      </c>
      <c r="P22" s="2" t="s">
        <v>51</v>
      </c>
      <c r="Q22" s="2" t="s">
        <v>54</v>
      </c>
      <c r="R22" s="2" t="s">
        <v>60</v>
      </c>
      <c r="S22" s="2" t="s">
        <v>61</v>
      </c>
      <c r="T22" s="2" t="s">
        <v>61</v>
      </c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2" t="s">
        <v>51</v>
      </c>
      <c r="AS22" s="2" t="s">
        <v>51</v>
      </c>
      <c r="AT22" s="3"/>
      <c r="AU22" s="2" t="s">
        <v>104</v>
      </c>
      <c r="AV22" s="3">
        <v>20</v>
      </c>
      <c r="AW22" t="str">
        <f t="shared" si="0"/>
        <v>"U"-CHANNEL 41*41*t2.6mm</v>
      </c>
    </row>
    <row r="23" spans="1:50" ht="30" customHeight="1" x14ac:dyDescent="0.3">
      <c r="A23" s="17" t="s">
        <v>105</v>
      </c>
      <c r="B23" s="17" t="s">
        <v>106</v>
      </c>
      <c r="C23" s="17" t="s">
        <v>107</v>
      </c>
      <c r="D23" s="41"/>
      <c r="E23" s="16"/>
      <c r="F23" s="16"/>
      <c r="G23" s="16"/>
      <c r="H23" s="16"/>
      <c r="I23" s="16"/>
      <c r="J23" s="16"/>
      <c r="K23" s="16"/>
      <c r="L23" s="16"/>
      <c r="M23" s="17" t="s">
        <v>108</v>
      </c>
      <c r="N23" s="2" t="s">
        <v>109</v>
      </c>
      <c r="O23" s="2" t="s">
        <v>51</v>
      </c>
      <c r="P23" s="2" t="s">
        <v>51</v>
      </c>
      <c r="Q23" s="2" t="s">
        <v>54</v>
      </c>
      <c r="R23" s="2" t="s">
        <v>60</v>
      </c>
      <c r="S23" s="2" t="s">
        <v>61</v>
      </c>
      <c r="T23" s="2" t="s">
        <v>61</v>
      </c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2" t="s">
        <v>51</v>
      </c>
      <c r="AS23" s="2" t="s">
        <v>51</v>
      </c>
      <c r="AT23" s="3"/>
      <c r="AU23" s="2" t="s">
        <v>110</v>
      </c>
      <c r="AV23" s="3">
        <v>11</v>
      </c>
      <c r="AW23" t="str">
        <f t="shared" si="0"/>
        <v>잡철물설치(철제) 간단</v>
      </c>
    </row>
    <row r="24" spans="1:50" ht="30" customHeight="1" x14ac:dyDescent="0.3">
      <c r="A24" s="17" t="s">
        <v>111</v>
      </c>
      <c r="B24" s="17" t="s">
        <v>51</v>
      </c>
      <c r="C24" s="17" t="s">
        <v>112</v>
      </c>
      <c r="D24" s="41"/>
      <c r="E24" s="16"/>
      <c r="F24" s="16"/>
      <c r="G24" s="16"/>
      <c r="H24" s="16"/>
      <c r="I24" s="16"/>
      <c r="J24" s="16"/>
      <c r="K24" s="16"/>
      <c r="L24" s="16"/>
      <c r="M24" s="17" t="s">
        <v>113</v>
      </c>
      <c r="N24" s="2" t="s">
        <v>114</v>
      </c>
      <c r="O24" s="2" t="s">
        <v>51</v>
      </c>
      <c r="P24" s="2" t="s">
        <v>51</v>
      </c>
      <c r="Q24" s="2" t="s">
        <v>54</v>
      </c>
      <c r="R24" s="2" t="s">
        <v>60</v>
      </c>
      <c r="S24" s="2" t="s">
        <v>61</v>
      </c>
      <c r="T24" s="2" t="s">
        <v>61</v>
      </c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2" t="s">
        <v>51</v>
      </c>
      <c r="AS24" s="2" t="s">
        <v>51</v>
      </c>
      <c r="AT24" s="3"/>
      <c r="AU24" s="2" t="s">
        <v>115</v>
      </c>
      <c r="AV24" s="3">
        <v>12</v>
      </c>
      <c r="AW24" t="str">
        <f t="shared" si="0"/>
        <v xml:space="preserve">텍스 철거후 재설치 </v>
      </c>
    </row>
    <row r="25" spans="1:50" ht="30" customHeight="1" x14ac:dyDescent="0.3">
      <c r="A25" s="17" t="s">
        <v>116</v>
      </c>
      <c r="B25" s="17" t="s">
        <v>117</v>
      </c>
      <c r="C25" s="17" t="s">
        <v>93</v>
      </c>
      <c r="D25" s="41"/>
      <c r="E25" s="16"/>
      <c r="F25" s="16"/>
      <c r="G25" s="16"/>
      <c r="H25" s="16"/>
      <c r="I25" s="16"/>
      <c r="J25" s="16"/>
      <c r="K25" s="16"/>
      <c r="L25" s="16"/>
      <c r="M25" s="17" t="s">
        <v>118</v>
      </c>
      <c r="N25" s="2" t="s">
        <v>119</v>
      </c>
      <c r="O25" s="2" t="s">
        <v>51</v>
      </c>
      <c r="P25" s="2" t="s">
        <v>51</v>
      </c>
      <c r="Q25" s="2" t="s">
        <v>54</v>
      </c>
      <c r="R25" s="2" t="s">
        <v>60</v>
      </c>
      <c r="S25" s="2" t="s">
        <v>61</v>
      </c>
      <c r="T25" s="2" t="s">
        <v>61</v>
      </c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2" t="s">
        <v>51</v>
      </c>
      <c r="AS25" s="2" t="s">
        <v>51</v>
      </c>
      <c r="AT25" s="3"/>
      <c r="AU25" s="2" t="s">
        <v>120</v>
      </c>
      <c r="AV25" s="3">
        <v>13</v>
      </c>
      <c r="AW25" t="str">
        <f t="shared" si="0"/>
        <v>배관용 구멍뚫기(코어드릴)-Con,c 두께 30cm 이하 ∮25mm, 벽</v>
      </c>
    </row>
    <row r="26" spans="1:50" ht="30" customHeight="1" x14ac:dyDescent="0.3">
      <c r="A26" s="17" t="s">
        <v>121</v>
      </c>
      <c r="B26" s="17" t="s">
        <v>51</v>
      </c>
      <c r="C26" s="17" t="s">
        <v>122</v>
      </c>
      <c r="D26" s="41"/>
      <c r="E26" s="16"/>
      <c r="F26" s="16"/>
      <c r="G26" s="16"/>
      <c r="H26" s="16"/>
      <c r="I26" s="16"/>
      <c r="J26" s="16"/>
      <c r="K26" s="16"/>
      <c r="L26" s="16"/>
      <c r="M26" s="17" t="s">
        <v>123</v>
      </c>
      <c r="N26" s="2" t="s">
        <v>124</v>
      </c>
      <c r="O26" s="2" t="s">
        <v>51</v>
      </c>
      <c r="P26" s="2" t="s">
        <v>51</v>
      </c>
      <c r="Q26" s="2" t="s">
        <v>54</v>
      </c>
      <c r="R26" s="2" t="s">
        <v>60</v>
      </c>
      <c r="S26" s="2" t="s">
        <v>61</v>
      </c>
      <c r="T26" s="2" t="s">
        <v>61</v>
      </c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2" t="s">
        <v>51</v>
      </c>
      <c r="AS26" s="2" t="s">
        <v>51</v>
      </c>
      <c r="AT26" s="3"/>
      <c r="AU26" s="2" t="s">
        <v>125</v>
      </c>
      <c r="AV26" s="3">
        <v>34</v>
      </c>
      <c r="AW26" t="str">
        <f t="shared" si="0"/>
        <v xml:space="preserve">가스수신반 </v>
      </c>
    </row>
    <row r="27" spans="1:50" ht="30" customHeight="1" x14ac:dyDescent="0.3">
      <c r="A27" s="17" t="s">
        <v>126</v>
      </c>
      <c r="B27" s="17" t="s">
        <v>127</v>
      </c>
      <c r="C27" s="17" t="s">
        <v>122</v>
      </c>
      <c r="D27" s="41"/>
      <c r="E27" s="16"/>
      <c r="F27" s="16"/>
      <c r="G27" s="16"/>
      <c r="H27" s="16"/>
      <c r="I27" s="16"/>
      <c r="J27" s="16"/>
      <c r="K27" s="16"/>
      <c r="L27" s="16"/>
      <c r="M27" s="17" t="s">
        <v>128</v>
      </c>
      <c r="N27" s="2" t="s">
        <v>129</v>
      </c>
      <c r="O27" s="2" t="s">
        <v>51</v>
      </c>
      <c r="P27" s="2" t="s">
        <v>51</v>
      </c>
      <c r="Q27" s="2" t="s">
        <v>54</v>
      </c>
      <c r="R27" s="2" t="s">
        <v>60</v>
      </c>
      <c r="S27" s="2" t="s">
        <v>61</v>
      </c>
      <c r="T27" s="2" t="s">
        <v>61</v>
      </c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2" t="s">
        <v>51</v>
      </c>
      <c r="AS27" s="2" t="s">
        <v>51</v>
      </c>
      <c r="AT27" s="3"/>
      <c r="AU27" s="2" t="s">
        <v>130</v>
      </c>
      <c r="AV27" s="3">
        <v>36</v>
      </c>
      <c r="AW27" t="str">
        <f t="shared" si="0"/>
        <v>전원반 자동폐쇄장치전원반, 15A</v>
      </c>
    </row>
    <row r="28" spans="1:50" ht="30" customHeight="1" x14ac:dyDescent="0.3">
      <c r="A28" s="17" t="s">
        <v>131</v>
      </c>
      <c r="B28" s="17" t="s">
        <v>51</v>
      </c>
      <c r="C28" s="17" t="s">
        <v>132</v>
      </c>
      <c r="D28" s="41"/>
      <c r="E28" s="16"/>
      <c r="F28" s="16"/>
      <c r="G28" s="16"/>
      <c r="H28" s="16"/>
      <c r="I28" s="16"/>
      <c r="J28" s="16"/>
      <c r="K28" s="16"/>
      <c r="L28" s="16"/>
      <c r="M28" s="17" t="s">
        <v>133</v>
      </c>
      <c r="N28" s="2" t="s">
        <v>134</v>
      </c>
      <c r="O28" s="2" t="s">
        <v>51</v>
      </c>
      <c r="P28" s="2" t="s">
        <v>51</v>
      </c>
      <c r="Q28" s="2" t="s">
        <v>54</v>
      </c>
      <c r="R28" s="2" t="s">
        <v>60</v>
      </c>
      <c r="S28" s="2" t="s">
        <v>61</v>
      </c>
      <c r="T28" s="2" t="s">
        <v>61</v>
      </c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2" t="s">
        <v>51</v>
      </c>
      <c r="AS28" s="2" t="s">
        <v>51</v>
      </c>
      <c r="AT28" s="3"/>
      <c r="AU28" s="2" t="s">
        <v>135</v>
      </c>
      <c r="AV28" s="3">
        <v>24</v>
      </c>
      <c r="AW28" t="str">
        <f t="shared" si="0"/>
        <v xml:space="preserve">경종 설치 </v>
      </c>
    </row>
    <row r="29" spans="1:50" ht="30" customHeight="1" x14ac:dyDescent="0.3">
      <c r="A29" s="17" t="s">
        <v>136</v>
      </c>
      <c r="B29" s="17" t="s">
        <v>137</v>
      </c>
      <c r="C29" s="17" t="s">
        <v>132</v>
      </c>
      <c r="D29" s="41"/>
      <c r="E29" s="16"/>
      <c r="F29" s="16"/>
      <c r="G29" s="16"/>
      <c r="H29" s="16"/>
      <c r="I29" s="16"/>
      <c r="J29" s="16"/>
      <c r="K29" s="16"/>
      <c r="L29" s="16"/>
      <c r="M29" s="17" t="s">
        <v>138</v>
      </c>
      <c r="N29" s="2" t="s">
        <v>139</v>
      </c>
      <c r="O29" s="2" t="s">
        <v>51</v>
      </c>
      <c r="P29" s="2" t="s">
        <v>51</v>
      </c>
      <c r="Q29" s="2" t="s">
        <v>54</v>
      </c>
      <c r="R29" s="2" t="s">
        <v>60</v>
      </c>
      <c r="S29" s="2" t="s">
        <v>61</v>
      </c>
      <c r="T29" s="2" t="s">
        <v>61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51</v>
      </c>
      <c r="AS29" s="2" t="s">
        <v>51</v>
      </c>
      <c r="AT29" s="3"/>
      <c r="AU29" s="2" t="s">
        <v>140</v>
      </c>
      <c r="AV29" s="3">
        <v>25</v>
      </c>
      <c r="AW29" t="str">
        <f t="shared" si="0"/>
        <v>화재감지기 열감지기,차동식스포트형</v>
      </c>
    </row>
    <row r="30" spans="1:50" ht="30" customHeight="1" x14ac:dyDescent="0.3">
      <c r="A30" s="17" t="s">
        <v>136</v>
      </c>
      <c r="B30" s="17" t="s">
        <v>141</v>
      </c>
      <c r="C30" s="17" t="s">
        <v>132</v>
      </c>
      <c r="D30" s="41"/>
      <c r="E30" s="16"/>
      <c r="F30" s="16"/>
      <c r="G30" s="16"/>
      <c r="H30" s="16"/>
      <c r="I30" s="16"/>
      <c r="J30" s="16"/>
      <c r="K30" s="16"/>
      <c r="L30" s="16"/>
      <c r="M30" s="17" t="s">
        <v>142</v>
      </c>
      <c r="N30" s="2" t="s">
        <v>143</v>
      </c>
      <c r="O30" s="2" t="s">
        <v>51</v>
      </c>
      <c r="P30" s="2" t="s">
        <v>51</v>
      </c>
      <c r="Q30" s="2" t="s">
        <v>54</v>
      </c>
      <c r="R30" s="2" t="s">
        <v>60</v>
      </c>
      <c r="S30" s="2" t="s">
        <v>61</v>
      </c>
      <c r="T30" s="2" t="s">
        <v>61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51</v>
      </c>
      <c r="AS30" s="2" t="s">
        <v>51</v>
      </c>
      <c r="AT30" s="3"/>
      <c r="AU30" s="2" t="s">
        <v>144</v>
      </c>
      <c r="AV30" s="3">
        <v>26</v>
      </c>
      <c r="AW30" t="str">
        <f t="shared" si="0"/>
        <v>화재감지기 연기감지기,광전식2종-비축적</v>
      </c>
    </row>
    <row r="31" spans="1:50" ht="30" customHeight="1" x14ac:dyDescent="0.3">
      <c r="A31" s="17" t="s">
        <v>145</v>
      </c>
      <c r="B31" s="17" t="s">
        <v>146</v>
      </c>
      <c r="C31" s="17" t="s">
        <v>132</v>
      </c>
      <c r="D31" s="41"/>
      <c r="E31" s="16"/>
      <c r="F31" s="16"/>
      <c r="G31" s="16"/>
      <c r="H31" s="16"/>
      <c r="I31" s="16"/>
      <c r="J31" s="16"/>
      <c r="K31" s="16"/>
      <c r="L31" s="16"/>
      <c r="M31" s="17" t="s">
        <v>147</v>
      </c>
      <c r="N31" s="2" t="s">
        <v>148</v>
      </c>
      <c r="O31" s="2" t="s">
        <v>51</v>
      </c>
      <c r="P31" s="2" t="s">
        <v>51</v>
      </c>
      <c r="Q31" s="2" t="s">
        <v>54</v>
      </c>
      <c r="R31" s="2" t="s">
        <v>60</v>
      </c>
      <c r="S31" s="2" t="s">
        <v>61</v>
      </c>
      <c r="T31" s="2" t="s">
        <v>61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51</v>
      </c>
      <c r="AS31" s="2" t="s">
        <v>51</v>
      </c>
      <c r="AT31" s="3"/>
      <c r="AU31" s="2" t="s">
        <v>149</v>
      </c>
      <c r="AV31" s="3">
        <v>29</v>
      </c>
      <c r="AW31" t="str">
        <f t="shared" si="0"/>
        <v>전자사이렌 설치 DC 24V</v>
      </c>
    </row>
    <row r="32" spans="1:50" ht="30" customHeight="1" x14ac:dyDescent="0.3">
      <c r="A32" s="17" t="s">
        <v>150</v>
      </c>
      <c r="B32" s="17" t="s">
        <v>151</v>
      </c>
      <c r="C32" s="17" t="s">
        <v>132</v>
      </c>
      <c r="D32" s="41"/>
      <c r="E32" s="16"/>
      <c r="F32" s="16"/>
      <c r="G32" s="105"/>
      <c r="H32" s="105"/>
      <c r="I32" s="16"/>
      <c r="J32" s="16"/>
      <c r="K32" s="16"/>
      <c r="L32" s="16"/>
      <c r="M32" s="17" t="s">
        <v>152</v>
      </c>
      <c r="N32" s="2" t="s">
        <v>153</v>
      </c>
      <c r="O32" s="2" t="s">
        <v>51</v>
      </c>
      <c r="P32" s="2" t="s">
        <v>51</v>
      </c>
      <c r="Q32" s="2" t="s">
        <v>54</v>
      </c>
      <c r="R32" s="2" t="s">
        <v>60</v>
      </c>
      <c r="S32" s="2" t="s">
        <v>61</v>
      </c>
      <c r="T32" s="2" t="s">
        <v>61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51</v>
      </c>
      <c r="AS32" s="2" t="s">
        <v>51</v>
      </c>
      <c r="AT32" s="3"/>
      <c r="AU32" s="2" t="s">
        <v>154</v>
      </c>
      <c r="AV32" s="3">
        <v>30</v>
      </c>
      <c r="AW32" t="str">
        <f t="shared" si="0"/>
        <v>자동폐쇄장치-창문형 DC-24V</v>
      </c>
    </row>
    <row r="33" spans="1:49" ht="30" customHeight="1" x14ac:dyDescent="0.3">
      <c r="A33" s="17" t="s">
        <v>155</v>
      </c>
      <c r="B33" s="17" t="s">
        <v>151</v>
      </c>
      <c r="C33" s="17" t="s">
        <v>132</v>
      </c>
      <c r="D33" s="41"/>
      <c r="E33" s="16"/>
      <c r="F33" s="16"/>
      <c r="G33" s="105"/>
      <c r="H33" s="105"/>
      <c r="I33" s="16"/>
      <c r="J33" s="16"/>
      <c r="K33" s="16"/>
      <c r="L33" s="16"/>
      <c r="M33" s="17" t="s">
        <v>156</v>
      </c>
      <c r="N33" s="2" t="s">
        <v>157</v>
      </c>
      <c r="O33" s="2" t="s">
        <v>51</v>
      </c>
      <c r="P33" s="2" t="s">
        <v>51</v>
      </c>
      <c r="Q33" s="2" t="s">
        <v>54</v>
      </c>
      <c r="R33" s="2" t="s">
        <v>60</v>
      </c>
      <c r="S33" s="2" t="s">
        <v>61</v>
      </c>
      <c r="T33" s="2" t="s">
        <v>61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51</v>
      </c>
      <c r="AS33" s="2" t="s">
        <v>51</v>
      </c>
      <c r="AT33" s="3"/>
      <c r="AU33" s="2" t="s">
        <v>158</v>
      </c>
      <c r="AV33" s="3">
        <v>31</v>
      </c>
      <c r="AW33" t="str">
        <f t="shared" si="0"/>
        <v>자동폐쇄장치-방화문 DC-24V</v>
      </c>
    </row>
    <row r="34" spans="1:49" ht="30" customHeight="1" x14ac:dyDescent="0.3">
      <c r="A34" s="17" t="s">
        <v>159</v>
      </c>
      <c r="B34" s="17" t="s">
        <v>160</v>
      </c>
      <c r="C34" s="17" t="s">
        <v>122</v>
      </c>
      <c r="D34" s="41"/>
      <c r="E34" s="16"/>
      <c r="F34" s="16"/>
      <c r="G34" s="16"/>
      <c r="H34" s="16"/>
      <c r="I34" s="16"/>
      <c r="J34" s="16"/>
      <c r="K34" s="16"/>
      <c r="L34" s="16"/>
      <c r="M34" s="17" t="s">
        <v>161</v>
      </c>
      <c r="N34" s="2" t="s">
        <v>162</v>
      </c>
      <c r="O34" s="2" t="s">
        <v>51</v>
      </c>
      <c r="P34" s="2" t="s">
        <v>51</v>
      </c>
      <c r="Q34" s="2" t="s">
        <v>54</v>
      </c>
      <c r="R34" s="2" t="s">
        <v>60</v>
      </c>
      <c r="S34" s="2" t="s">
        <v>61</v>
      </c>
      <c r="T34" s="2" t="s">
        <v>61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51</v>
      </c>
      <c r="AS34" s="2" t="s">
        <v>51</v>
      </c>
      <c r="AT34" s="3"/>
      <c r="AU34" s="2" t="s">
        <v>163</v>
      </c>
      <c r="AV34" s="3">
        <v>32</v>
      </c>
      <c r="AW34" t="str">
        <f t="shared" si="0"/>
        <v>경비실 부수신기 재결선 지하층 2구역 철거 및 지하수신기 1구역 연동</v>
      </c>
    </row>
    <row r="35" spans="1:49" ht="30" customHeight="1" x14ac:dyDescent="0.3">
      <c r="A35" s="17" t="s">
        <v>164</v>
      </c>
      <c r="B35" s="17" t="s">
        <v>160</v>
      </c>
      <c r="C35" s="17" t="s">
        <v>122</v>
      </c>
      <c r="D35" s="41"/>
      <c r="E35" s="16"/>
      <c r="F35" s="16"/>
      <c r="G35" s="16"/>
      <c r="H35" s="16"/>
      <c r="I35" s="16"/>
      <c r="J35" s="16"/>
      <c r="K35" s="16"/>
      <c r="L35" s="16"/>
      <c r="M35" s="17" t="s">
        <v>165</v>
      </c>
      <c r="N35" s="2" t="s">
        <v>166</v>
      </c>
      <c r="O35" s="2" t="s">
        <v>51</v>
      </c>
      <c r="P35" s="2" t="s">
        <v>51</v>
      </c>
      <c r="Q35" s="2" t="s">
        <v>54</v>
      </c>
      <c r="R35" s="2" t="s">
        <v>60</v>
      </c>
      <c r="S35" s="2" t="s">
        <v>61</v>
      </c>
      <c r="T35" s="2" t="s">
        <v>61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2" t="s">
        <v>51</v>
      </c>
      <c r="AS35" s="2" t="s">
        <v>51</v>
      </c>
      <c r="AT35" s="3"/>
      <c r="AU35" s="2" t="s">
        <v>167</v>
      </c>
      <c r="AV35" s="3">
        <v>33</v>
      </c>
      <c r="AW35" t="str">
        <f t="shared" si="0"/>
        <v>통제실 메인수신기 재결선 지하층 2구역 철거 및 지하수신기 1구역 연동</v>
      </c>
    </row>
    <row r="36" spans="1:49" ht="30" customHeight="1" x14ac:dyDescent="0.3">
      <c r="A36" s="17" t="s">
        <v>168</v>
      </c>
      <c r="B36" s="17" t="s">
        <v>169</v>
      </c>
      <c r="C36" s="17" t="s">
        <v>93</v>
      </c>
      <c r="D36" s="41"/>
      <c r="E36" s="16"/>
      <c r="F36" s="16"/>
      <c r="G36" s="16"/>
      <c r="H36" s="16"/>
      <c r="I36" s="16"/>
      <c r="J36" s="16"/>
      <c r="K36" s="16"/>
      <c r="L36" s="16"/>
      <c r="M36" s="17" t="s">
        <v>170</v>
      </c>
      <c r="N36" s="2" t="s">
        <v>171</v>
      </c>
      <c r="O36" s="2" t="s">
        <v>51</v>
      </c>
      <c r="P36" s="2" t="s">
        <v>51</v>
      </c>
      <c r="Q36" s="2" t="s">
        <v>54</v>
      </c>
      <c r="R36" s="2" t="s">
        <v>60</v>
      </c>
      <c r="S36" s="2" t="s">
        <v>61</v>
      </c>
      <c r="T36" s="2" t="s">
        <v>61</v>
      </c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2" t="s">
        <v>51</v>
      </c>
      <c r="AS36" s="2" t="s">
        <v>51</v>
      </c>
      <c r="AT36" s="3"/>
      <c r="AU36" s="2" t="s">
        <v>172</v>
      </c>
      <c r="AV36" s="3">
        <v>35</v>
      </c>
      <c r="AW36" t="str">
        <f t="shared" si="0"/>
        <v>걸이시설설치 생명줄포함</v>
      </c>
    </row>
    <row r="37" spans="1:49" ht="30" customHeight="1" x14ac:dyDescent="0.3">
      <c r="A37" s="17" t="s">
        <v>173</v>
      </c>
      <c r="B37" s="17" t="s">
        <v>51</v>
      </c>
      <c r="C37" s="17" t="s">
        <v>132</v>
      </c>
      <c r="D37" s="41"/>
      <c r="E37" s="16"/>
      <c r="F37" s="16"/>
      <c r="G37" s="16"/>
      <c r="H37" s="16"/>
      <c r="I37" s="16"/>
      <c r="J37" s="16"/>
      <c r="K37" s="16"/>
      <c r="L37" s="16"/>
      <c r="M37" s="17" t="s">
        <v>174</v>
      </c>
      <c r="N37" s="2" t="s">
        <v>175</v>
      </c>
      <c r="O37" s="2" t="s">
        <v>51</v>
      </c>
      <c r="P37" s="2" t="s">
        <v>51</v>
      </c>
      <c r="Q37" s="2" t="s">
        <v>54</v>
      </c>
      <c r="R37" s="2" t="s">
        <v>60</v>
      </c>
      <c r="S37" s="2" t="s">
        <v>61</v>
      </c>
      <c r="T37" s="2" t="s">
        <v>61</v>
      </c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2" t="s">
        <v>51</v>
      </c>
      <c r="AS37" s="2" t="s">
        <v>51</v>
      </c>
      <c r="AT37" s="3"/>
      <c r="AU37" s="2" t="s">
        <v>176</v>
      </c>
      <c r="AV37" s="3">
        <v>27</v>
      </c>
      <c r="AW37" t="str">
        <f t="shared" si="0"/>
        <v xml:space="preserve">화재감지기 - 철거 </v>
      </c>
    </row>
    <row r="38" spans="1:49" ht="30" customHeight="1" x14ac:dyDescent="0.3">
      <c r="A38" s="17" t="s">
        <v>177</v>
      </c>
      <c r="B38" s="17" t="s">
        <v>51</v>
      </c>
      <c r="C38" s="17" t="s">
        <v>74</v>
      </c>
      <c r="D38" s="41"/>
      <c r="E38" s="16"/>
      <c r="F38" s="16"/>
      <c r="G38" s="16"/>
      <c r="H38" s="16"/>
      <c r="I38" s="16"/>
      <c r="J38" s="16"/>
      <c r="K38" s="16"/>
      <c r="L38" s="16"/>
      <c r="M38" s="17" t="s">
        <v>178</v>
      </c>
      <c r="N38" s="2" t="s">
        <v>179</v>
      </c>
      <c r="O38" s="2" t="s">
        <v>51</v>
      </c>
      <c r="P38" s="2" t="s">
        <v>51</v>
      </c>
      <c r="Q38" s="2" t="s">
        <v>54</v>
      </c>
      <c r="R38" s="2" t="s">
        <v>60</v>
      </c>
      <c r="S38" s="2" t="s">
        <v>61</v>
      </c>
      <c r="T38" s="2" t="s">
        <v>61</v>
      </c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2" t="s">
        <v>51</v>
      </c>
      <c r="AS38" s="2" t="s">
        <v>51</v>
      </c>
      <c r="AT38" s="3"/>
      <c r="AU38" s="2" t="s">
        <v>180</v>
      </c>
      <c r="AV38" s="3">
        <v>28</v>
      </c>
      <c r="AW38" t="str">
        <f t="shared" si="0"/>
        <v xml:space="preserve">전자싸이렌 - 철거 </v>
      </c>
    </row>
    <row r="39" spans="1:49" ht="30" customHeight="1" x14ac:dyDescent="0.3">
      <c r="A39" s="17" t="s">
        <v>181</v>
      </c>
      <c r="B39" s="17" t="s">
        <v>182</v>
      </c>
      <c r="C39" s="17" t="s">
        <v>122</v>
      </c>
      <c r="D39" s="41"/>
      <c r="E39" s="16"/>
      <c r="F39" s="16"/>
      <c r="G39" s="16"/>
      <c r="H39" s="16"/>
      <c r="I39" s="16"/>
      <c r="J39" s="16"/>
      <c r="K39" s="16"/>
      <c r="L39" s="16"/>
      <c r="M39" s="17" t="s">
        <v>183</v>
      </c>
      <c r="N39" s="2" t="s">
        <v>184</v>
      </c>
      <c r="O39" s="2" t="s">
        <v>51</v>
      </c>
      <c r="P39" s="2" t="s">
        <v>51</v>
      </c>
      <c r="Q39" s="2" t="s">
        <v>54</v>
      </c>
      <c r="R39" s="2" t="s">
        <v>60</v>
      </c>
      <c r="S39" s="2" t="s">
        <v>61</v>
      </c>
      <c r="T39" s="2" t="s">
        <v>61</v>
      </c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2" t="s">
        <v>51</v>
      </c>
      <c r="AS39" s="2" t="s">
        <v>51</v>
      </c>
      <c r="AT39" s="3"/>
      <c r="AU39" s="2" t="s">
        <v>185</v>
      </c>
      <c r="AV39" s="3">
        <v>37</v>
      </c>
      <c r="AW39" t="str">
        <f t="shared" si="0"/>
        <v>아우트렛박스 중형4각 54㎜</v>
      </c>
    </row>
    <row r="40" spans="1:49" ht="30" customHeight="1" x14ac:dyDescent="0.3">
      <c r="A40" s="17" t="s">
        <v>186</v>
      </c>
      <c r="B40" s="17" t="s">
        <v>51</v>
      </c>
      <c r="C40" s="17" t="s">
        <v>187</v>
      </c>
      <c r="D40" s="41"/>
      <c r="E40" s="16"/>
      <c r="F40" s="16"/>
      <c r="G40" s="16"/>
      <c r="H40" s="16"/>
      <c r="I40" s="16"/>
      <c r="J40" s="16"/>
      <c r="K40" s="16"/>
      <c r="L40" s="16"/>
      <c r="M40" s="17" t="s">
        <v>188</v>
      </c>
      <c r="N40" s="2" t="s">
        <v>189</v>
      </c>
      <c r="O40" s="2" t="s">
        <v>51</v>
      </c>
      <c r="P40" s="2" t="s">
        <v>51</v>
      </c>
      <c r="Q40" s="2" t="s">
        <v>54</v>
      </c>
      <c r="R40" s="2" t="s">
        <v>60</v>
      </c>
      <c r="S40" s="2" t="s">
        <v>61</v>
      </c>
      <c r="T40" s="2" t="s">
        <v>61</v>
      </c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2" t="s">
        <v>51</v>
      </c>
      <c r="AS40" s="2" t="s">
        <v>51</v>
      </c>
      <c r="AT40" s="3"/>
      <c r="AU40" s="2" t="s">
        <v>190</v>
      </c>
      <c r="AV40" s="3">
        <v>4</v>
      </c>
      <c r="AW40" t="str">
        <f t="shared" si="0"/>
        <v xml:space="preserve">덕트관통부채움 </v>
      </c>
    </row>
    <row r="41" spans="1:49" ht="30" customHeight="1" x14ac:dyDescent="0.3">
      <c r="A41" s="17" t="s">
        <v>191</v>
      </c>
      <c r="B41" s="17" t="s">
        <v>51</v>
      </c>
      <c r="C41" s="17" t="s">
        <v>187</v>
      </c>
      <c r="D41" s="41"/>
      <c r="E41" s="16"/>
      <c r="F41" s="16"/>
      <c r="G41" s="16"/>
      <c r="H41" s="16"/>
      <c r="I41" s="16"/>
      <c r="J41" s="16"/>
      <c r="K41" s="16"/>
      <c r="L41" s="16"/>
      <c r="M41" s="17" t="s">
        <v>192</v>
      </c>
      <c r="N41" s="2" t="s">
        <v>193</v>
      </c>
      <c r="O41" s="2" t="s">
        <v>51</v>
      </c>
      <c r="P41" s="2" t="s">
        <v>51</v>
      </c>
      <c r="Q41" s="2" t="s">
        <v>54</v>
      </c>
      <c r="R41" s="2" t="s">
        <v>60</v>
      </c>
      <c r="S41" s="2" t="s">
        <v>61</v>
      </c>
      <c r="T41" s="2" t="s">
        <v>61</v>
      </c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2" t="s">
        <v>51</v>
      </c>
      <c r="AS41" s="2" t="s">
        <v>51</v>
      </c>
      <c r="AT41" s="3"/>
      <c r="AU41" s="2" t="s">
        <v>194</v>
      </c>
      <c r="AV41" s="3">
        <v>5</v>
      </c>
      <c r="AW41" t="str">
        <f t="shared" si="0"/>
        <v xml:space="preserve">배관관통부채움 </v>
      </c>
    </row>
    <row r="42" spans="1:49" ht="30" customHeight="1" x14ac:dyDescent="0.3">
      <c r="A42" s="17" t="s">
        <v>195</v>
      </c>
      <c r="B42" s="17" t="s">
        <v>196</v>
      </c>
      <c r="C42" s="17" t="s">
        <v>122</v>
      </c>
      <c r="D42" s="41"/>
      <c r="E42" s="16"/>
      <c r="F42" s="16"/>
      <c r="G42" s="16"/>
      <c r="H42" s="16"/>
      <c r="I42" s="16"/>
      <c r="J42" s="16"/>
      <c r="K42" s="16"/>
      <c r="L42" s="16"/>
      <c r="M42" s="17" t="s">
        <v>197</v>
      </c>
      <c r="N42" s="2" t="s">
        <v>198</v>
      </c>
      <c r="O42" s="2" t="s">
        <v>51</v>
      </c>
      <c r="P42" s="2" t="s">
        <v>51</v>
      </c>
      <c r="Q42" s="2" t="s">
        <v>54</v>
      </c>
      <c r="R42" s="2" t="s">
        <v>60</v>
      </c>
      <c r="S42" s="2" t="s">
        <v>61</v>
      </c>
      <c r="T42" s="2" t="s">
        <v>61</v>
      </c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2" t="s">
        <v>51</v>
      </c>
      <c r="AS42" s="2" t="s">
        <v>51</v>
      </c>
      <c r="AT42" s="3"/>
      <c r="AU42" s="2" t="s">
        <v>199</v>
      </c>
      <c r="AV42" s="3">
        <v>38</v>
      </c>
      <c r="AW42" t="str">
        <f t="shared" si="0"/>
        <v>강관 조립말비계(이동식)설치 및 해체 높이 4m, 3개월</v>
      </c>
    </row>
    <row r="43" spans="1:49" ht="30" customHeight="1" x14ac:dyDescent="0.3">
      <c r="A43" s="17" t="s">
        <v>200</v>
      </c>
      <c r="B43" s="17" t="s">
        <v>201</v>
      </c>
      <c r="C43" s="17" t="s">
        <v>132</v>
      </c>
      <c r="D43" s="41"/>
      <c r="E43" s="16"/>
      <c r="F43" s="16"/>
      <c r="G43" s="105"/>
      <c r="H43" s="105"/>
      <c r="I43" s="16"/>
      <c r="J43" s="16"/>
      <c r="K43" s="16"/>
      <c r="L43" s="16"/>
      <c r="M43" s="17" t="s">
        <v>202</v>
      </c>
      <c r="N43" s="2" t="s">
        <v>203</v>
      </c>
      <c r="O43" s="2" t="s">
        <v>51</v>
      </c>
      <c r="P43" s="2" t="s">
        <v>51</v>
      </c>
      <c r="Q43" s="2" t="s">
        <v>54</v>
      </c>
      <c r="R43" s="2" t="s">
        <v>61</v>
      </c>
      <c r="S43" s="2" t="s">
        <v>61</v>
      </c>
      <c r="T43" s="2" t="s">
        <v>60</v>
      </c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2" t="s">
        <v>51</v>
      </c>
      <c r="AS43" s="2" t="s">
        <v>51</v>
      </c>
      <c r="AT43" s="3"/>
      <c r="AU43" s="2" t="s">
        <v>204</v>
      </c>
      <c r="AV43" s="3">
        <v>6</v>
      </c>
      <c r="AW43" t="str">
        <f t="shared" si="0"/>
        <v>방화실리콘 실란트 300ml</v>
      </c>
    </row>
    <row r="44" spans="1:49" ht="30" customHeight="1" x14ac:dyDescent="0.3">
      <c r="A44" s="17" t="s">
        <v>205</v>
      </c>
      <c r="B44" s="17" t="s">
        <v>51</v>
      </c>
      <c r="C44" s="17" t="s">
        <v>132</v>
      </c>
      <c r="D44" s="41"/>
      <c r="E44" s="16"/>
      <c r="F44" s="16"/>
      <c r="G44" s="105"/>
      <c r="H44" s="105"/>
      <c r="I44" s="16"/>
      <c r="J44" s="16"/>
      <c r="K44" s="16"/>
      <c r="L44" s="16"/>
      <c r="M44" s="17" t="s">
        <v>206</v>
      </c>
      <c r="N44" s="2" t="s">
        <v>207</v>
      </c>
      <c r="O44" s="2" t="s">
        <v>51</v>
      </c>
      <c r="P44" s="2" t="s">
        <v>51</v>
      </c>
      <c r="Q44" s="2" t="s">
        <v>54</v>
      </c>
      <c r="R44" s="2" t="s">
        <v>61</v>
      </c>
      <c r="S44" s="2" t="s">
        <v>61</v>
      </c>
      <c r="T44" s="2" t="s">
        <v>60</v>
      </c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2" t="s">
        <v>51</v>
      </c>
      <c r="AS44" s="2" t="s">
        <v>51</v>
      </c>
      <c r="AT44" s="3"/>
      <c r="AU44" s="2" t="s">
        <v>208</v>
      </c>
      <c r="AV44" s="3">
        <v>7</v>
      </c>
      <c r="AW44" t="str">
        <f t="shared" si="0"/>
        <v xml:space="preserve">PVC 파이프 캡 </v>
      </c>
    </row>
    <row r="45" spans="1:49" ht="30" customHeight="1" x14ac:dyDescent="0.3">
      <c r="A45" s="17" t="s">
        <v>209</v>
      </c>
      <c r="B45" s="17" t="s">
        <v>210</v>
      </c>
      <c r="C45" s="17" t="s">
        <v>211</v>
      </c>
      <c r="D45" s="41"/>
      <c r="E45" s="16"/>
      <c r="F45" s="16"/>
      <c r="G45" s="105"/>
      <c r="H45" s="105"/>
      <c r="I45" s="16"/>
      <c r="J45" s="16"/>
      <c r="K45" s="16"/>
      <c r="L45" s="16"/>
      <c r="M45" s="17" t="s">
        <v>212</v>
      </c>
      <c r="N45" s="2" t="s">
        <v>213</v>
      </c>
      <c r="O45" s="2" t="s">
        <v>51</v>
      </c>
      <c r="P45" s="2" t="s">
        <v>51</v>
      </c>
      <c r="Q45" s="2" t="s">
        <v>54</v>
      </c>
      <c r="R45" s="2" t="s">
        <v>61</v>
      </c>
      <c r="S45" s="2" t="s">
        <v>61</v>
      </c>
      <c r="T45" s="2" t="s">
        <v>60</v>
      </c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2" t="s">
        <v>51</v>
      </c>
      <c r="AS45" s="2" t="s">
        <v>51</v>
      </c>
      <c r="AT45" s="3"/>
      <c r="AU45" s="2" t="s">
        <v>214</v>
      </c>
      <c r="AV45" s="3">
        <v>9</v>
      </c>
      <c r="AW45" t="str">
        <f t="shared" si="0"/>
        <v>화물트럭 운반비 1TON 기준</v>
      </c>
    </row>
    <row r="46" spans="1:49" ht="30" customHeight="1" x14ac:dyDescent="0.3">
      <c r="A46" s="17" t="s">
        <v>215</v>
      </c>
      <c r="B46" s="17" t="s">
        <v>51</v>
      </c>
      <c r="C46" s="17" t="s">
        <v>216</v>
      </c>
      <c r="D46" s="41"/>
      <c r="E46" s="16"/>
      <c r="F46" s="16"/>
      <c r="G46" s="105"/>
      <c r="H46" s="105"/>
      <c r="I46" s="16"/>
      <c r="J46" s="16"/>
      <c r="K46" s="16"/>
      <c r="L46" s="16"/>
      <c r="M46" s="17" t="s">
        <v>217</v>
      </c>
      <c r="N46" s="2" t="s">
        <v>218</v>
      </c>
      <c r="O46" s="2" t="s">
        <v>51</v>
      </c>
      <c r="P46" s="2" t="s">
        <v>51</v>
      </c>
      <c r="Q46" s="2" t="s">
        <v>54</v>
      </c>
      <c r="R46" s="2" t="s">
        <v>61</v>
      </c>
      <c r="S46" s="2" t="s">
        <v>61</v>
      </c>
      <c r="T46" s="2" t="s">
        <v>60</v>
      </c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2" t="s">
        <v>51</v>
      </c>
      <c r="AS46" s="2" t="s">
        <v>51</v>
      </c>
      <c r="AT46" s="3"/>
      <c r="AU46" s="2" t="s">
        <v>219</v>
      </c>
      <c r="AV46" s="3">
        <v>10</v>
      </c>
      <c r="AW46" t="str">
        <f t="shared" si="0"/>
        <v xml:space="preserve">방화포 </v>
      </c>
    </row>
    <row r="47" spans="1:49" ht="30" customHeight="1" x14ac:dyDescent="0.3">
      <c r="A47" s="15" t="s">
        <v>1303</v>
      </c>
      <c r="B47" s="15" t="s">
        <v>1304</v>
      </c>
      <c r="C47" s="15" t="s">
        <v>1305</v>
      </c>
      <c r="D47" s="41"/>
      <c r="E47" s="16"/>
      <c r="F47" s="16"/>
      <c r="G47" s="105"/>
      <c r="H47" s="105"/>
      <c r="I47" s="16"/>
      <c r="J47" s="16"/>
      <c r="K47" s="16"/>
      <c r="L47" s="16"/>
      <c r="M47" s="15"/>
      <c r="Q47" s="1" t="s">
        <v>54</v>
      </c>
      <c r="AW47" t="str">
        <f t="shared" si="0"/>
        <v>공구손료 노무비의 3%</v>
      </c>
    </row>
    <row r="48" spans="1:49" ht="30" customHeight="1" x14ac:dyDescent="0.3">
      <c r="A48" s="15"/>
      <c r="B48" s="15"/>
      <c r="C48" s="15"/>
      <c r="D48" s="41"/>
      <c r="E48" s="16"/>
      <c r="F48" s="16"/>
      <c r="G48" s="16"/>
      <c r="H48" s="16"/>
      <c r="I48" s="16"/>
      <c r="J48" s="16"/>
      <c r="K48" s="16"/>
      <c r="L48" s="16"/>
      <c r="M48" s="15"/>
      <c r="Q48" s="1" t="s">
        <v>54</v>
      </c>
      <c r="AW48" t="str">
        <f t="shared" si="0"/>
        <v xml:space="preserve"> </v>
      </c>
    </row>
    <row r="49" spans="1:49" ht="30" customHeight="1" x14ac:dyDescent="0.3">
      <c r="A49" s="15"/>
      <c r="B49" s="15"/>
      <c r="C49" s="15"/>
      <c r="D49" s="41"/>
      <c r="E49" s="16"/>
      <c r="F49" s="16"/>
      <c r="G49" s="16"/>
      <c r="H49" s="16"/>
      <c r="I49" s="16"/>
      <c r="J49" s="16"/>
      <c r="K49" s="16"/>
      <c r="L49" s="16"/>
      <c r="M49" s="15"/>
      <c r="Q49" s="1" t="s">
        <v>54</v>
      </c>
      <c r="AW49" t="str">
        <f t="shared" si="0"/>
        <v xml:space="preserve"> </v>
      </c>
    </row>
    <row r="50" spans="1:49" ht="30" customHeight="1" x14ac:dyDescent="0.3">
      <c r="A50" s="15"/>
      <c r="B50" s="15"/>
      <c r="C50" s="15"/>
      <c r="D50" s="41"/>
      <c r="E50" s="16"/>
      <c r="F50" s="16"/>
      <c r="G50" s="16"/>
      <c r="H50" s="16"/>
      <c r="I50" s="16"/>
      <c r="J50" s="16"/>
      <c r="K50" s="16"/>
      <c r="L50" s="16"/>
      <c r="M50" s="15"/>
      <c r="Q50" s="1" t="s">
        <v>54</v>
      </c>
      <c r="AW50" t="str">
        <f t="shared" si="0"/>
        <v xml:space="preserve"> </v>
      </c>
    </row>
    <row r="51" spans="1:49" ht="30" customHeight="1" x14ac:dyDescent="0.3">
      <c r="A51" s="15"/>
      <c r="B51" s="15"/>
      <c r="C51" s="15"/>
      <c r="D51" s="41"/>
      <c r="E51" s="16"/>
      <c r="F51" s="16"/>
      <c r="G51" s="16"/>
      <c r="H51" s="16"/>
      <c r="I51" s="16"/>
      <c r="J51" s="16"/>
      <c r="K51" s="16"/>
      <c r="L51" s="16"/>
      <c r="M51" s="15"/>
      <c r="Q51" s="1" t="s">
        <v>54</v>
      </c>
      <c r="AW51" t="str">
        <f t="shared" si="0"/>
        <v xml:space="preserve"> </v>
      </c>
    </row>
    <row r="52" spans="1:49" ht="30" customHeight="1" x14ac:dyDescent="0.3">
      <c r="A52" s="15"/>
      <c r="B52" s="15"/>
      <c r="C52" s="15"/>
      <c r="D52" s="41"/>
      <c r="E52" s="16"/>
      <c r="F52" s="16"/>
      <c r="G52" s="16"/>
      <c r="H52" s="16"/>
      <c r="I52" s="16"/>
      <c r="J52" s="16"/>
      <c r="K52" s="16"/>
      <c r="L52" s="16"/>
      <c r="M52" s="15"/>
      <c r="Q52" s="1" t="s">
        <v>54</v>
      </c>
      <c r="AW52" t="str">
        <f t="shared" si="0"/>
        <v xml:space="preserve"> </v>
      </c>
    </row>
    <row r="53" spans="1:49" ht="30" customHeight="1" x14ac:dyDescent="0.3">
      <c r="A53" s="15"/>
      <c r="B53" s="15"/>
      <c r="C53" s="15"/>
      <c r="D53" s="41"/>
      <c r="E53" s="16"/>
      <c r="F53" s="16"/>
      <c r="G53" s="16"/>
      <c r="H53" s="16"/>
      <c r="I53" s="16"/>
      <c r="J53" s="16"/>
      <c r="K53" s="16"/>
      <c r="L53" s="16"/>
      <c r="M53" s="15"/>
      <c r="Q53" s="1" t="s">
        <v>54</v>
      </c>
      <c r="AW53" t="str">
        <f t="shared" si="0"/>
        <v xml:space="preserve"> </v>
      </c>
    </row>
    <row r="54" spans="1:49" ht="30" customHeight="1" x14ac:dyDescent="0.3">
      <c r="A54" s="15"/>
      <c r="B54" s="15"/>
      <c r="C54" s="15"/>
      <c r="D54" s="41"/>
      <c r="E54" s="16"/>
      <c r="F54" s="16"/>
      <c r="G54" s="16"/>
      <c r="H54" s="16"/>
      <c r="I54" s="16"/>
      <c r="J54" s="16"/>
      <c r="K54" s="16"/>
      <c r="L54" s="16"/>
      <c r="M54" s="15"/>
      <c r="Q54" s="1" t="s">
        <v>54</v>
      </c>
      <c r="AW54" t="str">
        <f t="shared" si="0"/>
        <v xml:space="preserve"> </v>
      </c>
    </row>
    <row r="55" spans="1:49" ht="30" customHeight="1" x14ac:dyDescent="0.3">
      <c r="A55" s="15"/>
      <c r="B55" s="15"/>
      <c r="C55" s="15"/>
      <c r="D55" s="41"/>
      <c r="E55" s="16"/>
      <c r="F55" s="16"/>
      <c r="G55" s="16"/>
      <c r="H55" s="16"/>
      <c r="I55" s="16"/>
      <c r="J55" s="16"/>
      <c r="K55" s="16"/>
      <c r="L55" s="16"/>
      <c r="M55" s="15"/>
      <c r="Q55" s="1" t="s">
        <v>54</v>
      </c>
      <c r="AW55" t="str">
        <f t="shared" si="0"/>
        <v xml:space="preserve"> </v>
      </c>
    </row>
    <row r="56" spans="1:49" ht="30" customHeight="1" x14ac:dyDescent="0.3">
      <c r="A56" s="15"/>
      <c r="B56" s="15"/>
      <c r="C56" s="15"/>
      <c r="D56" s="41"/>
      <c r="E56" s="16"/>
      <c r="F56" s="16"/>
      <c r="G56" s="16"/>
      <c r="H56" s="16"/>
      <c r="I56" s="16"/>
      <c r="J56" s="16"/>
      <c r="K56" s="16"/>
      <c r="L56" s="16"/>
      <c r="M56" s="15"/>
      <c r="Q56" s="1" t="s">
        <v>54</v>
      </c>
      <c r="AW56" t="str">
        <f t="shared" si="0"/>
        <v xml:space="preserve"> </v>
      </c>
    </row>
    <row r="57" spans="1:49" ht="30" customHeight="1" x14ac:dyDescent="0.3">
      <c r="A57" s="15"/>
      <c r="B57" s="15"/>
      <c r="C57" s="15"/>
      <c r="D57" s="41"/>
      <c r="E57" s="16"/>
      <c r="F57" s="16"/>
      <c r="G57" s="16"/>
      <c r="H57" s="16"/>
      <c r="I57" s="16"/>
      <c r="J57" s="16"/>
      <c r="K57" s="16"/>
      <c r="L57" s="16"/>
      <c r="M57" s="15"/>
      <c r="Q57" s="1" t="s">
        <v>54</v>
      </c>
      <c r="AW57" t="str">
        <f t="shared" si="0"/>
        <v xml:space="preserve"> </v>
      </c>
    </row>
    <row r="58" spans="1:49" ht="30" customHeight="1" x14ac:dyDescent="0.3">
      <c r="A58" s="15"/>
      <c r="B58" s="15"/>
      <c r="C58" s="15"/>
      <c r="D58" s="41"/>
      <c r="E58" s="16"/>
      <c r="F58" s="16"/>
      <c r="G58" s="16"/>
      <c r="H58" s="16"/>
      <c r="I58" s="16"/>
      <c r="J58" s="16"/>
      <c r="K58" s="16"/>
      <c r="L58" s="16"/>
      <c r="M58" s="15"/>
      <c r="Q58" s="1" t="s">
        <v>54</v>
      </c>
      <c r="AW58" t="str">
        <f t="shared" si="0"/>
        <v xml:space="preserve"> </v>
      </c>
    </row>
    <row r="59" spans="1:49" ht="30" customHeight="1" x14ac:dyDescent="0.3">
      <c r="A59" s="15"/>
      <c r="B59" s="15"/>
      <c r="C59" s="15"/>
      <c r="D59" s="41"/>
      <c r="E59" s="16"/>
      <c r="F59" s="16"/>
      <c r="G59" s="16"/>
      <c r="H59" s="16"/>
      <c r="I59" s="16"/>
      <c r="J59" s="16"/>
      <c r="K59" s="16"/>
      <c r="L59" s="16"/>
      <c r="M59" s="15"/>
      <c r="Q59" s="1" t="s">
        <v>54</v>
      </c>
      <c r="AW59" t="str">
        <f t="shared" si="0"/>
        <v xml:space="preserve"> </v>
      </c>
    </row>
    <row r="60" spans="1:49" ht="30" customHeight="1" x14ac:dyDescent="0.3">
      <c r="A60" s="15"/>
      <c r="B60" s="15"/>
      <c r="C60" s="15"/>
      <c r="D60" s="41"/>
      <c r="E60" s="16"/>
      <c r="F60" s="16"/>
      <c r="G60" s="16"/>
      <c r="H60" s="16"/>
      <c r="I60" s="16"/>
      <c r="J60" s="16"/>
      <c r="K60" s="16"/>
      <c r="L60" s="16"/>
      <c r="M60" s="15"/>
      <c r="Q60" s="1" t="s">
        <v>54</v>
      </c>
      <c r="AW60" t="str">
        <f t="shared" si="0"/>
        <v xml:space="preserve"> </v>
      </c>
    </row>
    <row r="61" spans="1:49" ht="30" customHeight="1" x14ac:dyDescent="0.3">
      <c r="A61" s="15"/>
      <c r="B61" s="15"/>
      <c r="C61" s="15"/>
      <c r="D61" s="41"/>
      <c r="E61" s="16"/>
      <c r="F61" s="16"/>
      <c r="G61" s="16"/>
      <c r="H61" s="16"/>
      <c r="I61" s="16"/>
      <c r="J61" s="16"/>
      <c r="K61" s="16"/>
      <c r="L61" s="16"/>
      <c r="M61" s="15"/>
      <c r="Q61" s="1" t="s">
        <v>54</v>
      </c>
      <c r="AW61" t="str">
        <f t="shared" si="0"/>
        <v xml:space="preserve"> </v>
      </c>
    </row>
    <row r="62" spans="1:49" ht="30" customHeight="1" x14ac:dyDescent="0.3">
      <c r="A62" s="15"/>
      <c r="B62" s="15"/>
      <c r="C62" s="15"/>
      <c r="D62" s="41"/>
      <c r="E62" s="16"/>
      <c r="F62" s="16"/>
      <c r="G62" s="16"/>
      <c r="H62" s="16"/>
      <c r="I62" s="16"/>
      <c r="J62" s="16"/>
      <c r="K62" s="16"/>
      <c r="L62" s="16"/>
      <c r="M62" s="15"/>
      <c r="Q62" s="1" t="s">
        <v>54</v>
      </c>
      <c r="AW62" t="str">
        <f t="shared" si="0"/>
        <v xml:space="preserve"> </v>
      </c>
    </row>
    <row r="63" spans="1:49" ht="30" customHeight="1" x14ac:dyDescent="0.3">
      <c r="A63" s="17" t="s">
        <v>220</v>
      </c>
      <c r="B63" s="15"/>
      <c r="C63" s="15"/>
      <c r="D63" s="41"/>
      <c r="E63" s="16"/>
      <c r="F63" s="16">
        <f>SUMIF(Q5:Q62,"0101",F5:F62)</f>
        <v>0</v>
      </c>
      <c r="G63" s="16"/>
      <c r="H63" s="16">
        <f>SUMIF(Q5:Q62,"0101",H5:H62)</f>
        <v>0</v>
      </c>
      <c r="I63" s="16"/>
      <c r="J63" s="16">
        <f>SUMIF(Q5:Q62,"0101",J5:J62)</f>
        <v>0</v>
      </c>
      <c r="K63" s="16"/>
      <c r="L63" s="16">
        <f>SUMIF(Q5:Q62,"0101",L5:L62)</f>
        <v>0</v>
      </c>
      <c r="M63" s="15"/>
      <c r="N63" t="s">
        <v>221</v>
      </c>
      <c r="AW63" t="str">
        <f t="shared" si="0"/>
        <v xml:space="preserve">[ 합           계 ] </v>
      </c>
    </row>
    <row r="64" spans="1:49" ht="30" hidden="1" customHeight="1" x14ac:dyDescent="0.3">
      <c r="A64" s="17" t="s">
        <v>222</v>
      </c>
      <c r="B64" s="17" t="s">
        <v>51</v>
      </c>
      <c r="C64" s="15"/>
      <c r="D64" s="41"/>
      <c r="E64" s="16"/>
      <c r="F64" s="16"/>
      <c r="G64" s="16"/>
      <c r="H64" s="16"/>
      <c r="I64" s="16"/>
      <c r="J64" s="16"/>
      <c r="K64" s="16"/>
      <c r="L64" s="16"/>
      <c r="M64" s="15"/>
      <c r="N64" s="3"/>
      <c r="O64" s="3"/>
      <c r="P64" s="3"/>
      <c r="Q64" s="2" t="s">
        <v>223</v>
      </c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t="str">
        <f t="shared" si="0"/>
        <v xml:space="preserve">0102  할로겐소화약제설비공사 </v>
      </c>
    </row>
    <row r="65" spans="1:49" ht="30" hidden="1" customHeight="1" x14ac:dyDescent="0.3">
      <c r="A65" s="17" t="s">
        <v>224</v>
      </c>
      <c r="B65" s="17" t="s">
        <v>225</v>
      </c>
      <c r="C65" s="17" t="s">
        <v>226</v>
      </c>
      <c r="D65" s="41">
        <v>1</v>
      </c>
      <c r="E65" s="16">
        <f>TRUNC(단가대비표!O61,0)</f>
        <v>9600000</v>
      </c>
      <c r="F65" s="16">
        <f t="shared" ref="F65:F96" si="2">TRUNC(E65*D65, 0)</f>
        <v>9600000</v>
      </c>
      <c r="G65" s="16">
        <f>TRUNC(단가대비표!P61,0)</f>
        <v>308851</v>
      </c>
      <c r="H65" s="16">
        <f t="shared" ref="H65:H96" si="3">TRUNC(G65*D65, 0)</f>
        <v>308851</v>
      </c>
      <c r="I65" s="16">
        <f>TRUNC(단가대비표!V61,0)</f>
        <v>0</v>
      </c>
      <c r="J65" s="16">
        <f t="shared" ref="J65:J96" si="4">TRUNC(I65*D65, 0)</f>
        <v>0</v>
      </c>
      <c r="K65" s="16">
        <f t="shared" ref="K65:K96" si="5">TRUNC(E65+G65+I65, 0)</f>
        <v>9908851</v>
      </c>
      <c r="L65" s="16">
        <f t="shared" ref="L65:L96" si="6">TRUNC(F65+H65+J65, 0)</f>
        <v>9908851</v>
      </c>
      <c r="M65" s="17" t="s">
        <v>227</v>
      </c>
      <c r="N65" s="2" t="s">
        <v>228</v>
      </c>
      <c r="O65" s="2" t="s">
        <v>51</v>
      </c>
      <c r="P65" s="2" t="s">
        <v>51</v>
      </c>
      <c r="Q65" s="2" t="s">
        <v>223</v>
      </c>
      <c r="R65" s="2" t="s">
        <v>61</v>
      </c>
      <c r="S65" s="2" t="s">
        <v>61</v>
      </c>
      <c r="T65" s="2" t="s">
        <v>60</v>
      </c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2" t="s">
        <v>51</v>
      </c>
      <c r="AS65" s="2" t="s">
        <v>51</v>
      </c>
      <c r="AT65" s="3"/>
      <c r="AU65" s="2" t="s">
        <v>229</v>
      </c>
      <c r="AV65" s="3">
        <v>40</v>
      </c>
      <c r="AW65" t="str">
        <f t="shared" si="0"/>
        <v>AnyFire(FK-5-1-12) 모듈러 82.5L/90KG/2BT</v>
      </c>
    </row>
    <row r="66" spans="1:49" ht="30" hidden="1" customHeight="1" x14ac:dyDescent="0.3">
      <c r="A66" s="17" t="s">
        <v>224</v>
      </c>
      <c r="B66" s="17" t="s">
        <v>230</v>
      </c>
      <c r="C66" s="17" t="s">
        <v>226</v>
      </c>
      <c r="D66" s="41">
        <v>4</v>
      </c>
      <c r="E66" s="16">
        <f>TRUNC(단가대비표!O62,0)</f>
        <v>8800000</v>
      </c>
      <c r="F66" s="16">
        <f t="shared" si="2"/>
        <v>35200000</v>
      </c>
      <c r="G66" s="16">
        <f>TRUNC(단가대비표!P62,0)</f>
        <v>308851</v>
      </c>
      <c r="H66" s="16">
        <f t="shared" si="3"/>
        <v>1235404</v>
      </c>
      <c r="I66" s="16">
        <f>TRUNC(단가대비표!V62,0)</f>
        <v>0</v>
      </c>
      <c r="J66" s="16">
        <f t="shared" si="4"/>
        <v>0</v>
      </c>
      <c r="K66" s="16">
        <f t="shared" si="5"/>
        <v>9108851</v>
      </c>
      <c r="L66" s="16">
        <f t="shared" si="6"/>
        <v>36435404</v>
      </c>
      <c r="M66" s="17" t="s">
        <v>231</v>
      </c>
      <c r="N66" s="2" t="s">
        <v>232</v>
      </c>
      <c r="O66" s="2" t="s">
        <v>51</v>
      </c>
      <c r="P66" s="2" t="s">
        <v>51</v>
      </c>
      <c r="Q66" s="2" t="s">
        <v>223</v>
      </c>
      <c r="R66" s="2" t="s">
        <v>61</v>
      </c>
      <c r="S66" s="2" t="s">
        <v>61</v>
      </c>
      <c r="T66" s="2" t="s">
        <v>60</v>
      </c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2" t="s">
        <v>51</v>
      </c>
      <c r="AS66" s="2" t="s">
        <v>51</v>
      </c>
      <c r="AT66" s="3"/>
      <c r="AU66" s="2" t="s">
        <v>233</v>
      </c>
      <c r="AV66" s="3">
        <v>41</v>
      </c>
      <c r="AW66" t="str">
        <f t="shared" si="0"/>
        <v>AnyFire(FK-5-1-12) 모듈러 82.5L/80KG/2BT</v>
      </c>
    </row>
    <row r="67" spans="1:49" ht="30" hidden="1" customHeight="1" x14ac:dyDescent="0.3">
      <c r="A67" s="17" t="s">
        <v>224</v>
      </c>
      <c r="B67" s="17" t="s">
        <v>234</v>
      </c>
      <c r="C67" s="17" t="s">
        <v>226</v>
      </c>
      <c r="D67" s="41">
        <v>1</v>
      </c>
      <c r="E67" s="16">
        <f>TRUNC(단가대비표!O63,0)</f>
        <v>8000000</v>
      </c>
      <c r="F67" s="16">
        <f t="shared" si="2"/>
        <v>8000000</v>
      </c>
      <c r="G67" s="16">
        <f>TRUNC(단가대비표!P63,0)</f>
        <v>308851</v>
      </c>
      <c r="H67" s="16">
        <f t="shared" si="3"/>
        <v>308851</v>
      </c>
      <c r="I67" s="16">
        <f>TRUNC(단가대비표!V63,0)</f>
        <v>0</v>
      </c>
      <c r="J67" s="16">
        <f t="shared" si="4"/>
        <v>0</v>
      </c>
      <c r="K67" s="16">
        <f t="shared" si="5"/>
        <v>8308851</v>
      </c>
      <c r="L67" s="16">
        <f t="shared" si="6"/>
        <v>8308851</v>
      </c>
      <c r="M67" s="17" t="s">
        <v>235</v>
      </c>
      <c r="N67" s="2" t="s">
        <v>236</v>
      </c>
      <c r="O67" s="2" t="s">
        <v>51</v>
      </c>
      <c r="P67" s="2" t="s">
        <v>51</v>
      </c>
      <c r="Q67" s="2" t="s">
        <v>223</v>
      </c>
      <c r="R67" s="2" t="s">
        <v>61</v>
      </c>
      <c r="S67" s="2" t="s">
        <v>61</v>
      </c>
      <c r="T67" s="2" t="s">
        <v>60</v>
      </c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2" t="s">
        <v>51</v>
      </c>
      <c r="AS67" s="2" t="s">
        <v>51</v>
      </c>
      <c r="AT67" s="3"/>
      <c r="AU67" s="2" t="s">
        <v>237</v>
      </c>
      <c r="AV67" s="3">
        <v>42</v>
      </c>
      <c r="AW67" t="str">
        <f t="shared" si="0"/>
        <v>AnyFire(FK-5-1-12) 모듈러 82.5L/70KG/2BT</v>
      </c>
    </row>
    <row r="68" spans="1:49" ht="30" hidden="1" customHeight="1" x14ac:dyDescent="0.3">
      <c r="A68" s="17" t="s">
        <v>224</v>
      </c>
      <c r="B68" s="17" t="s">
        <v>238</v>
      </c>
      <c r="C68" s="17" t="s">
        <v>226</v>
      </c>
      <c r="D68" s="41">
        <v>1</v>
      </c>
      <c r="E68" s="16">
        <f>TRUNC(단가대비표!O64,0)</f>
        <v>4400000</v>
      </c>
      <c r="F68" s="16">
        <f t="shared" si="2"/>
        <v>4400000</v>
      </c>
      <c r="G68" s="16">
        <f>TRUNC(단가대비표!P64,0)</f>
        <v>154426</v>
      </c>
      <c r="H68" s="16">
        <f t="shared" si="3"/>
        <v>154426</v>
      </c>
      <c r="I68" s="16">
        <f>TRUNC(단가대비표!V64,0)</f>
        <v>0</v>
      </c>
      <c r="J68" s="16">
        <f t="shared" si="4"/>
        <v>0</v>
      </c>
      <c r="K68" s="16">
        <f t="shared" si="5"/>
        <v>4554426</v>
      </c>
      <c r="L68" s="16">
        <f t="shared" si="6"/>
        <v>4554426</v>
      </c>
      <c r="M68" s="17" t="s">
        <v>239</v>
      </c>
      <c r="N68" s="2" t="s">
        <v>240</v>
      </c>
      <c r="O68" s="2" t="s">
        <v>51</v>
      </c>
      <c r="P68" s="2" t="s">
        <v>51</v>
      </c>
      <c r="Q68" s="2" t="s">
        <v>223</v>
      </c>
      <c r="R68" s="2" t="s">
        <v>61</v>
      </c>
      <c r="S68" s="2" t="s">
        <v>61</v>
      </c>
      <c r="T68" s="2" t="s">
        <v>60</v>
      </c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2" t="s">
        <v>51</v>
      </c>
      <c r="AS68" s="2" t="s">
        <v>51</v>
      </c>
      <c r="AT68" s="3"/>
      <c r="AU68" s="2" t="s">
        <v>241</v>
      </c>
      <c r="AV68" s="3">
        <v>43</v>
      </c>
      <c r="AW68" t="str">
        <f t="shared" si="0"/>
        <v>AnyFire(FK-5-1-12) 모듈러 82.5L/70KG/1BT</v>
      </c>
    </row>
    <row r="69" spans="1:49" ht="30" hidden="1" customHeight="1" x14ac:dyDescent="0.3">
      <c r="A69" s="17" t="s">
        <v>224</v>
      </c>
      <c r="B69" s="17" t="s">
        <v>242</v>
      </c>
      <c r="C69" s="17" t="s">
        <v>226</v>
      </c>
      <c r="D69" s="41">
        <v>2</v>
      </c>
      <c r="E69" s="16">
        <f>TRUNC(단가대비표!O65,0)</f>
        <v>4000000</v>
      </c>
      <c r="F69" s="16">
        <f t="shared" si="2"/>
        <v>8000000</v>
      </c>
      <c r="G69" s="16">
        <f>TRUNC(단가대비표!P65,0)</f>
        <v>154426</v>
      </c>
      <c r="H69" s="16">
        <f t="shared" si="3"/>
        <v>308852</v>
      </c>
      <c r="I69" s="16">
        <f>TRUNC(단가대비표!V65,0)</f>
        <v>0</v>
      </c>
      <c r="J69" s="16">
        <f t="shared" si="4"/>
        <v>0</v>
      </c>
      <c r="K69" s="16">
        <f t="shared" si="5"/>
        <v>4154426</v>
      </c>
      <c r="L69" s="16">
        <f t="shared" si="6"/>
        <v>8308852</v>
      </c>
      <c r="M69" s="17" t="s">
        <v>243</v>
      </c>
      <c r="N69" s="2" t="s">
        <v>244</v>
      </c>
      <c r="O69" s="2" t="s">
        <v>51</v>
      </c>
      <c r="P69" s="2" t="s">
        <v>51</v>
      </c>
      <c r="Q69" s="2" t="s">
        <v>223</v>
      </c>
      <c r="R69" s="2" t="s">
        <v>61</v>
      </c>
      <c r="S69" s="2" t="s">
        <v>61</v>
      </c>
      <c r="T69" s="2" t="s">
        <v>60</v>
      </c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2" t="s">
        <v>51</v>
      </c>
      <c r="AS69" s="2" t="s">
        <v>51</v>
      </c>
      <c r="AT69" s="3"/>
      <c r="AU69" s="2" t="s">
        <v>245</v>
      </c>
      <c r="AV69" s="3">
        <v>44</v>
      </c>
      <c r="AW69" t="str">
        <f t="shared" si="0"/>
        <v>AnyFire(FK-5-1-12) 모듈러 82.5L/60KG/1BT</v>
      </c>
    </row>
    <row r="70" spans="1:49" ht="30" hidden="1" customHeight="1" x14ac:dyDescent="0.3">
      <c r="A70" s="17" t="s">
        <v>246</v>
      </c>
      <c r="B70" s="17" t="s">
        <v>151</v>
      </c>
      <c r="C70" s="17" t="s">
        <v>187</v>
      </c>
      <c r="D70" s="41">
        <v>6</v>
      </c>
      <c r="E70" s="16">
        <f>TRUNC(단가대비표!O66,0)</f>
        <v>150000</v>
      </c>
      <c r="F70" s="16">
        <f t="shared" si="2"/>
        <v>900000</v>
      </c>
      <c r="G70" s="16">
        <f>TRUNC(단가대비표!P66,0)</f>
        <v>0</v>
      </c>
      <c r="H70" s="16">
        <f t="shared" si="3"/>
        <v>0</v>
      </c>
      <c r="I70" s="16">
        <f>TRUNC(단가대비표!V66,0)</f>
        <v>0</v>
      </c>
      <c r="J70" s="16">
        <f t="shared" si="4"/>
        <v>0</v>
      </c>
      <c r="K70" s="16">
        <f t="shared" si="5"/>
        <v>150000</v>
      </c>
      <c r="L70" s="16">
        <f t="shared" si="6"/>
        <v>900000</v>
      </c>
      <c r="M70" s="17" t="s">
        <v>247</v>
      </c>
      <c r="N70" s="2" t="s">
        <v>248</v>
      </c>
      <c r="O70" s="2" t="s">
        <v>51</v>
      </c>
      <c r="P70" s="2" t="s">
        <v>51</v>
      </c>
      <c r="Q70" s="2" t="s">
        <v>223</v>
      </c>
      <c r="R70" s="2" t="s">
        <v>61</v>
      </c>
      <c r="S70" s="2" t="s">
        <v>61</v>
      </c>
      <c r="T70" s="2" t="s">
        <v>60</v>
      </c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2" t="s">
        <v>51</v>
      </c>
      <c r="AS70" s="2" t="s">
        <v>51</v>
      </c>
      <c r="AT70" s="3"/>
      <c r="AU70" s="2" t="s">
        <v>249</v>
      </c>
      <c r="AV70" s="3">
        <v>45</v>
      </c>
      <c r="AW70" t="str">
        <f t="shared" si="0"/>
        <v>솔레노이드밸브 DC-24V</v>
      </c>
    </row>
    <row r="71" spans="1:49" ht="30" hidden="1" customHeight="1" x14ac:dyDescent="0.3">
      <c r="A71" s="17" t="s">
        <v>250</v>
      </c>
      <c r="B71" s="17" t="s">
        <v>251</v>
      </c>
      <c r="C71" s="17" t="s">
        <v>187</v>
      </c>
      <c r="D71" s="41">
        <v>9</v>
      </c>
      <c r="E71" s="16">
        <f>TRUNC(단가대비표!O67,0)</f>
        <v>50000</v>
      </c>
      <c r="F71" s="16">
        <f t="shared" si="2"/>
        <v>450000</v>
      </c>
      <c r="G71" s="16">
        <f>TRUNC(단가대비표!P67,0)</f>
        <v>0</v>
      </c>
      <c r="H71" s="16">
        <f t="shared" si="3"/>
        <v>0</v>
      </c>
      <c r="I71" s="16">
        <f>TRUNC(단가대비표!V67,0)</f>
        <v>0</v>
      </c>
      <c r="J71" s="16">
        <f t="shared" si="4"/>
        <v>0</v>
      </c>
      <c r="K71" s="16">
        <f t="shared" si="5"/>
        <v>50000</v>
      </c>
      <c r="L71" s="16">
        <f t="shared" si="6"/>
        <v>450000</v>
      </c>
      <c r="M71" s="17" t="s">
        <v>252</v>
      </c>
      <c r="N71" s="2" t="s">
        <v>253</v>
      </c>
      <c r="O71" s="2" t="s">
        <v>51</v>
      </c>
      <c r="P71" s="2" t="s">
        <v>51</v>
      </c>
      <c r="Q71" s="2" t="s">
        <v>223</v>
      </c>
      <c r="R71" s="2" t="s">
        <v>61</v>
      </c>
      <c r="S71" s="2" t="s">
        <v>61</v>
      </c>
      <c r="T71" s="2" t="s">
        <v>60</v>
      </c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2" t="s">
        <v>51</v>
      </c>
      <c r="AS71" s="2" t="s">
        <v>51</v>
      </c>
      <c r="AT71" s="3"/>
      <c r="AU71" s="2" t="s">
        <v>254</v>
      </c>
      <c r="AV71" s="3">
        <v>46</v>
      </c>
      <c r="AW71" t="str">
        <f t="shared" ref="AW71:AW134" si="7">CONCATENATE(A71," ",B71)</f>
        <v>니들밸브 6A</v>
      </c>
    </row>
    <row r="72" spans="1:49" ht="30" hidden="1" customHeight="1" x14ac:dyDescent="0.3">
      <c r="A72" s="17" t="s">
        <v>255</v>
      </c>
      <c r="B72" s="17" t="s">
        <v>256</v>
      </c>
      <c r="C72" s="17" t="s">
        <v>187</v>
      </c>
      <c r="D72" s="41">
        <v>6</v>
      </c>
      <c r="E72" s="16">
        <f>TRUNC(단가대비표!O68,0)</f>
        <v>850000</v>
      </c>
      <c r="F72" s="16">
        <f t="shared" si="2"/>
        <v>5100000</v>
      </c>
      <c r="G72" s="16">
        <f>TRUNC(단가대비표!P68,0)</f>
        <v>256546</v>
      </c>
      <c r="H72" s="16">
        <f t="shared" si="3"/>
        <v>1539276</v>
      </c>
      <c r="I72" s="16">
        <f>TRUNC(단가대비표!V68,0)</f>
        <v>0</v>
      </c>
      <c r="J72" s="16">
        <f t="shared" si="4"/>
        <v>0</v>
      </c>
      <c r="K72" s="16">
        <f t="shared" si="5"/>
        <v>1106546</v>
      </c>
      <c r="L72" s="16">
        <f t="shared" si="6"/>
        <v>6639276</v>
      </c>
      <c r="M72" s="17" t="s">
        <v>257</v>
      </c>
      <c r="N72" s="2" t="s">
        <v>258</v>
      </c>
      <c r="O72" s="2" t="s">
        <v>51</v>
      </c>
      <c r="P72" s="2" t="s">
        <v>51</v>
      </c>
      <c r="Q72" s="2" t="s">
        <v>223</v>
      </c>
      <c r="R72" s="2" t="s">
        <v>61</v>
      </c>
      <c r="S72" s="2" t="s">
        <v>61</v>
      </c>
      <c r="T72" s="2" t="s">
        <v>60</v>
      </c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2" t="s">
        <v>51</v>
      </c>
      <c r="AS72" s="2" t="s">
        <v>51</v>
      </c>
      <c r="AT72" s="3"/>
      <c r="AU72" s="2" t="s">
        <v>259</v>
      </c>
      <c r="AV72" s="3">
        <v>47</v>
      </c>
      <c r="AW72" t="str">
        <f t="shared" si="7"/>
        <v>내진가대(기본형) 모듈러 -2BT</v>
      </c>
    </row>
    <row r="73" spans="1:49" ht="30" hidden="1" customHeight="1" x14ac:dyDescent="0.3">
      <c r="A73" s="17" t="s">
        <v>255</v>
      </c>
      <c r="B73" s="17" t="s">
        <v>260</v>
      </c>
      <c r="C73" s="17" t="s">
        <v>187</v>
      </c>
      <c r="D73" s="41">
        <v>3</v>
      </c>
      <c r="E73" s="16">
        <f>TRUNC(단가대비표!O69,0)</f>
        <v>750000</v>
      </c>
      <c r="F73" s="16">
        <f t="shared" si="2"/>
        <v>2250000</v>
      </c>
      <c r="G73" s="16">
        <f>TRUNC(단가대비표!P69,0)</f>
        <v>256546</v>
      </c>
      <c r="H73" s="16">
        <f t="shared" si="3"/>
        <v>769638</v>
      </c>
      <c r="I73" s="16">
        <f>TRUNC(단가대비표!V69,0)</f>
        <v>0</v>
      </c>
      <c r="J73" s="16">
        <f t="shared" si="4"/>
        <v>0</v>
      </c>
      <c r="K73" s="16">
        <f t="shared" si="5"/>
        <v>1006546</v>
      </c>
      <c r="L73" s="16">
        <f t="shared" si="6"/>
        <v>3019638</v>
      </c>
      <c r="M73" s="17" t="s">
        <v>261</v>
      </c>
      <c r="N73" s="2" t="s">
        <v>262</v>
      </c>
      <c r="O73" s="2" t="s">
        <v>51</v>
      </c>
      <c r="P73" s="2" t="s">
        <v>51</v>
      </c>
      <c r="Q73" s="2" t="s">
        <v>223</v>
      </c>
      <c r="R73" s="2" t="s">
        <v>61</v>
      </c>
      <c r="S73" s="2" t="s">
        <v>61</v>
      </c>
      <c r="T73" s="2" t="s">
        <v>60</v>
      </c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2" t="s">
        <v>51</v>
      </c>
      <c r="AS73" s="2" t="s">
        <v>51</v>
      </c>
      <c r="AT73" s="3"/>
      <c r="AU73" s="2" t="s">
        <v>263</v>
      </c>
      <c r="AV73" s="3">
        <v>48</v>
      </c>
      <c r="AW73" t="str">
        <f t="shared" si="7"/>
        <v>내진가대(기본형) 모듈러 -1BT</v>
      </c>
    </row>
    <row r="74" spans="1:49" ht="30" hidden="1" customHeight="1" x14ac:dyDescent="0.3">
      <c r="A74" s="17" t="s">
        <v>264</v>
      </c>
      <c r="B74" s="17" t="s">
        <v>265</v>
      </c>
      <c r="C74" s="17" t="s">
        <v>187</v>
      </c>
      <c r="D74" s="41">
        <v>3</v>
      </c>
      <c r="E74" s="16">
        <f>TRUNC(단가대비표!O70,0)</f>
        <v>65000</v>
      </c>
      <c r="F74" s="16">
        <f t="shared" si="2"/>
        <v>195000</v>
      </c>
      <c r="G74" s="16">
        <f>TRUNC(단가대비표!P70,0)</f>
        <v>52306</v>
      </c>
      <c r="H74" s="16">
        <f t="shared" si="3"/>
        <v>156918</v>
      </c>
      <c r="I74" s="16">
        <f>TRUNC(단가대비표!V70,0)</f>
        <v>0</v>
      </c>
      <c r="J74" s="16">
        <f t="shared" si="4"/>
        <v>0</v>
      </c>
      <c r="K74" s="16">
        <f t="shared" si="5"/>
        <v>117306</v>
      </c>
      <c r="L74" s="16">
        <f t="shared" si="6"/>
        <v>351918</v>
      </c>
      <c r="M74" s="17" t="s">
        <v>266</v>
      </c>
      <c r="N74" s="2" t="s">
        <v>267</v>
      </c>
      <c r="O74" s="2" t="s">
        <v>51</v>
      </c>
      <c r="P74" s="2" t="s">
        <v>51</v>
      </c>
      <c r="Q74" s="2" t="s">
        <v>223</v>
      </c>
      <c r="R74" s="2" t="s">
        <v>61</v>
      </c>
      <c r="S74" s="2" t="s">
        <v>61</v>
      </c>
      <c r="T74" s="2" t="s">
        <v>60</v>
      </c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2" t="s">
        <v>51</v>
      </c>
      <c r="AS74" s="2" t="s">
        <v>51</v>
      </c>
      <c r="AT74" s="3"/>
      <c r="AU74" s="2" t="s">
        <v>268</v>
      </c>
      <c r="AV74" s="3">
        <v>49</v>
      </c>
      <c r="AW74" t="str">
        <f t="shared" si="7"/>
        <v>FK-5-1-12 Nozzle(360˚) 50A</v>
      </c>
    </row>
    <row r="75" spans="1:49" ht="30" hidden="1" customHeight="1" x14ac:dyDescent="0.3">
      <c r="A75" s="17" t="s">
        <v>269</v>
      </c>
      <c r="B75" s="17" t="s">
        <v>265</v>
      </c>
      <c r="C75" s="17" t="s">
        <v>187</v>
      </c>
      <c r="D75" s="41">
        <v>3</v>
      </c>
      <c r="E75" s="16">
        <f>TRUNC(단가대비표!O71,0)</f>
        <v>65000</v>
      </c>
      <c r="F75" s="16">
        <f t="shared" si="2"/>
        <v>195000</v>
      </c>
      <c r="G75" s="16">
        <f>TRUNC(단가대비표!P71,0)</f>
        <v>52306</v>
      </c>
      <c r="H75" s="16">
        <f t="shared" si="3"/>
        <v>156918</v>
      </c>
      <c r="I75" s="16">
        <f>TRUNC(단가대비표!V71,0)</f>
        <v>0</v>
      </c>
      <c r="J75" s="16">
        <f t="shared" si="4"/>
        <v>0</v>
      </c>
      <c r="K75" s="16">
        <f t="shared" si="5"/>
        <v>117306</v>
      </c>
      <c r="L75" s="16">
        <f t="shared" si="6"/>
        <v>351918</v>
      </c>
      <c r="M75" s="17" t="s">
        <v>270</v>
      </c>
      <c r="N75" s="2" t="s">
        <v>271</v>
      </c>
      <c r="O75" s="2" t="s">
        <v>51</v>
      </c>
      <c r="P75" s="2" t="s">
        <v>51</v>
      </c>
      <c r="Q75" s="2" t="s">
        <v>223</v>
      </c>
      <c r="R75" s="2" t="s">
        <v>61</v>
      </c>
      <c r="S75" s="2" t="s">
        <v>61</v>
      </c>
      <c r="T75" s="2" t="s">
        <v>60</v>
      </c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2" t="s">
        <v>51</v>
      </c>
      <c r="AS75" s="2" t="s">
        <v>51</v>
      </c>
      <c r="AT75" s="3"/>
      <c r="AU75" s="2" t="s">
        <v>272</v>
      </c>
      <c r="AV75" s="3">
        <v>50</v>
      </c>
      <c r="AW75" t="str">
        <f t="shared" si="7"/>
        <v>FK-5-1-12 Nozzle(180˚) 50A</v>
      </c>
    </row>
    <row r="76" spans="1:49" ht="30" hidden="1" customHeight="1" x14ac:dyDescent="0.3">
      <c r="A76" s="17" t="s">
        <v>264</v>
      </c>
      <c r="B76" s="17" t="s">
        <v>273</v>
      </c>
      <c r="C76" s="17" t="s">
        <v>187</v>
      </c>
      <c r="D76" s="41">
        <v>1</v>
      </c>
      <c r="E76" s="16">
        <f>TRUNC(단가대비표!O72,0)</f>
        <v>52000</v>
      </c>
      <c r="F76" s="16">
        <f t="shared" si="2"/>
        <v>52000</v>
      </c>
      <c r="G76" s="16">
        <f>TRUNC(단가대비표!P72,0)</f>
        <v>52306</v>
      </c>
      <c r="H76" s="16">
        <f t="shared" si="3"/>
        <v>52306</v>
      </c>
      <c r="I76" s="16">
        <f>TRUNC(단가대비표!V72,0)</f>
        <v>0</v>
      </c>
      <c r="J76" s="16">
        <f t="shared" si="4"/>
        <v>0</v>
      </c>
      <c r="K76" s="16">
        <f t="shared" si="5"/>
        <v>104306</v>
      </c>
      <c r="L76" s="16">
        <f t="shared" si="6"/>
        <v>104306</v>
      </c>
      <c r="M76" s="17" t="s">
        <v>274</v>
      </c>
      <c r="N76" s="2" t="s">
        <v>275</v>
      </c>
      <c r="O76" s="2" t="s">
        <v>51</v>
      </c>
      <c r="P76" s="2" t="s">
        <v>51</v>
      </c>
      <c r="Q76" s="2" t="s">
        <v>223</v>
      </c>
      <c r="R76" s="2" t="s">
        <v>61</v>
      </c>
      <c r="S76" s="2" t="s">
        <v>61</v>
      </c>
      <c r="T76" s="2" t="s">
        <v>60</v>
      </c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2" t="s">
        <v>51</v>
      </c>
      <c r="AS76" s="2" t="s">
        <v>51</v>
      </c>
      <c r="AT76" s="3"/>
      <c r="AU76" s="2" t="s">
        <v>276</v>
      </c>
      <c r="AV76" s="3">
        <v>51</v>
      </c>
      <c r="AW76" t="str">
        <f t="shared" si="7"/>
        <v>FK-5-1-12 Nozzle(360˚) 40A</v>
      </c>
    </row>
    <row r="77" spans="1:49" ht="30" hidden="1" customHeight="1" x14ac:dyDescent="0.3">
      <c r="A77" s="17" t="s">
        <v>269</v>
      </c>
      <c r="B77" s="17" t="s">
        <v>273</v>
      </c>
      <c r="C77" s="17" t="s">
        <v>187</v>
      </c>
      <c r="D77" s="41">
        <v>2</v>
      </c>
      <c r="E77" s="16">
        <f>TRUNC(단가대비표!O73,0)</f>
        <v>52000</v>
      </c>
      <c r="F77" s="16">
        <f t="shared" si="2"/>
        <v>104000</v>
      </c>
      <c r="G77" s="16">
        <f>TRUNC(단가대비표!P73,0)</f>
        <v>52306</v>
      </c>
      <c r="H77" s="16">
        <f t="shared" si="3"/>
        <v>104612</v>
      </c>
      <c r="I77" s="16">
        <f>TRUNC(단가대비표!V73,0)</f>
        <v>0</v>
      </c>
      <c r="J77" s="16">
        <f t="shared" si="4"/>
        <v>0</v>
      </c>
      <c r="K77" s="16">
        <f t="shared" si="5"/>
        <v>104306</v>
      </c>
      <c r="L77" s="16">
        <f t="shared" si="6"/>
        <v>208612</v>
      </c>
      <c r="M77" s="17" t="s">
        <v>277</v>
      </c>
      <c r="N77" s="2" t="s">
        <v>278</v>
      </c>
      <c r="O77" s="2" t="s">
        <v>51</v>
      </c>
      <c r="P77" s="2" t="s">
        <v>51</v>
      </c>
      <c r="Q77" s="2" t="s">
        <v>223</v>
      </c>
      <c r="R77" s="2" t="s">
        <v>61</v>
      </c>
      <c r="S77" s="2" t="s">
        <v>61</v>
      </c>
      <c r="T77" s="2" t="s">
        <v>60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51</v>
      </c>
      <c r="AS77" s="2" t="s">
        <v>51</v>
      </c>
      <c r="AT77" s="3"/>
      <c r="AU77" s="2" t="s">
        <v>279</v>
      </c>
      <c r="AV77" s="3">
        <v>52</v>
      </c>
      <c r="AW77" t="str">
        <f t="shared" si="7"/>
        <v>FK-5-1-12 Nozzle(180˚) 40A</v>
      </c>
    </row>
    <row r="78" spans="1:49" ht="30" hidden="1" customHeight="1" x14ac:dyDescent="0.3">
      <c r="A78" s="17" t="s">
        <v>280</v>
      </c>
      <c r="B78" s="17" t="s">
        <v>281</v>
      </c>
      <c r="C78" s="17" t="s">
        <v>187</v>
      </c>
      <c r="D78" s="41">
        <v>1</v>
      </c>
      <c r="E78" s="16">
        <f>TRUNC(단가대비표!O74,0)</f>
        <v>710000</v>
      </c>
      <c r="F78" s="16">
        <f t="shared" si="2"/>
        <v>710000</v>
      </c>
      <c r="G78" s="16">
        <f>TRUNC(단가대비표!P74,0)</f>
        <v>164431</v>
      </c>
      <c r="H78" s="16">
        <f t="shared" si="3"/>
        <v>164431</v>
      </c>
      <c r="I78" s="16">
        <f>TRUNC(단가대비표!V74,0)</f>
        <v>0</v>
      </c>
      <c r="J78" s="16">
        <f t="shared" si="4"/>
        <v>0</v>
      </c>
      <c r="K78" s="16">
        <f t="shared" si="5"/>
        <v>874431</v>
      </c>
      <c r="L78" s="16">
        <f t="shared" si="6"/>
        <v>874431</v>
      </c>
      <c r="M78" s="17" t="s">
        <v>282</v>
      </c>
      <c r="N78" s="2" t="s">
        <v>283</v>
      </c>
      <c r="O78" s="2" t="s">
        <v>51</v>
      </c>
      <c r="P78" s="2" t="s">
        <v>51</v>
      </c>
      <c r="Q78" s="2" t="s">
        <v>223</v>
      </c>
      <c r="R78" s="2" t="s">
        <v>61</v>
      </c>
      <c r="S78" s="2" t="s">
        <v>61</v>
      </c>
      <c r="T78" s="2" t="s">
        <v>60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51</v>
      </c>
      <c r="AS78" s="2" t="s">
        <v>51</v>
      </c>
      <c r="AT78" s="3"/>
      <c r="AU78" s="2" t="s">
        <v>284</v>
      </c>
      <c r="AV78" s="3">
        <v>53</v>
      </c>
      <c r="AW78" t="str">
        <f t="shared" si="7"/>
        <v>과(부)압배출구 (성능인증품) 600X600mm</v>
      </c>
    </row>
    <row r="79" spans="1:49" ht="30" hidden="1" customHeight="1" x14ac:dyDescent="0.3">
      <c r="A79" s="17" t="s">
        <v>280</v>
      </c>
      <c r="B79" s="17" t="s">
        <v>285</v>
      </c>
      <c r="C79" s="17" t="s">
        <v>187</v>
      </c>
      <c r="D79" s="41">
        <v>1</v>
      </c>
      <c r="E79" s="16">
        <f>TRUNC(단가대비표!O75,0)</f>
        <v>590000</v>
      </c>
      <c r="F79" s="16">
        <f t="shared" si="2"/>
        <v>590000</v>
      </c>
      <c r="G79" s="16">
        <f>TRUNC(단가대비표!P75,0)</f>
        <v>112396</v>
      </c>
      <c r="H79" s="16">
        <f t="shared" si="3"/>
        <v>112396</v>
      </c>
      <c r="I79" s="16">
        <f>TRUNC(단가대비표!V75,0)</f>
        <v>0</v>
      </c>
      <c r="J79" s="16">
        <f t="shared" si="4"/>
        <v>0</v>
      </c>
      <c r="K79" s="16">
        <f t="shared" si="5"/>
        <v>702396</v>
      </c>
      <c r="L79" s="16">
        <f t="shared" si="6"/>
        <v>702396</v>
      </c>
      <c r="M79" s="17" t="s">
        <v>286</v>
      </c>
      <c r="N79" s="2" t="s">
        <v>287</v>
      </c>
      <c r="O79" s="2" t="s">
        <v>51</v>
      </c>
      <c r="P79" s="2" t="s">
        <v>51</v>
      </c>
      <c r="Q79" s="2" t="s">
        <v>223</v>
      </c>
      <c r="R79" s="2" t="s">
        <v>61</v>
      </c>
      <c r="S79" s="2" t="s">
        <v>61</v>
      </c>
      <c r="T79" s="2" t="s">
        <v>60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51</v>
      </c>
      <c r="AS79" s="2" t="s">
        <v>51</v>
      </c>
      <c r="AT79" s="3"/>
      <c r="AU79" s="2" t="s">
        <v>288</v>
      </c>
      <c r="AV79" s="3">
        <v>54</v>
      </c>
      <c r="AW79" t="str">
        <f t="shared" si="7"/>
        <v>과(부)압배출구 (성능인증품) 400X400mm</v>
      </c>
    </row>
    <row r="80" spans="1:49" ht="30" hidden="1" customHeight="1" x14ac:dyDescent="0.3">
      <c r="A80" s="17" t="s">
        <v>280</v>
      </c>
      <c r="B80" s="17" t="s">
        <v>289</v>
      </c>
      <c r="C80" s="17" t="s">
        <v>187</v>
      </c>
      <c r="D80" s="41">
        <v>3</v>
      </c>
      <c r="E80" s="16">
        <f>TRUNC(단가대비표!O76,0)</f>
        <v>520000</v>
      </c>
      <c r="F80" s="16">
        <f t="shared" si="2"/>
        <v>1560000</v>
      </c>
      <c r="G80" s="16">
        <f>TRUNC(단가대비표!P76,0)</f>
        <v>86379</v>
      </c>
      <c r="H80" s="16">
        <f t="shared" si="3"/>
        <v>259137</v>
      </c>
      <c r="I80" s="16">
        <f>TRUNC(단가대비표!V76,0)</f>
        <v>0</v>
      </c>
      <c r="J80" s="16">
        <f t="shared" si="4"/>
        <v>0</v>
      </c>
      <c r="K80" s="16">
        <f t="shared" si="5"/>
        <v>606379</v>
      </c>
      <c r="L80" s="16">
        <f t="shared" si="6"/>
        <v>1819137</v>
      </c>
      <c r="M80" s="17" t="s">
        <v>290</v>
      </c>
      <c r="N80" s="2" t="s">
        <v>291</v>
      </c>
      <c r="O80" s="2" t="s">
        <v>51</v>
      </c>
      <c r="P80" s="2" t="s">
        <v>51</v>
      </c>
      <c r="Q80" s="2" t="s">
        <v>223</v>
      </c>
      <c r="R80" s="2" t="s">
        <v>61</v>
      </c>
      <c r="S80" s="2" t="s">
        <v>61</v>
      </c>
      <c r="T80" s="2" t="s">
        <v>60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2" t="s">
        <v>51</v>
      </c>
      <c r="AS80" s="2" t="s">
        <v>51</v>
      </c>
      <c r="AT80" s="3"/>
      <c r="AU80" s="2" t="s">
        <v>292</v>
      </c>
      <c r="AV80" s="3">
        <v>55</v>
      </c>
      <c r="AW80" t="str">
        <f t="shared" si="7"/>
        <v>과(부)압배출구 (성능인증품) 300X300mm</v>
      </c>
    </row>
    <row r="81" spans="1:49" ht="30" hidden="1" customHeight="1" x14ac:dyDescent="0.3">
      <c r="A81" s="17" t="s">
        <v>280</v>
      </c>
      <c r="B81" s="17" t="s">
        <v>293</v>
      </c>
      <c r="C81" s="17" t="s">
        <v>187</v>
      </c>
      <c r="D81" s="41">
        <v>1</v>
      </c>
      <c r="E81" s="16">
        <f>TRUNC(단가대비표!O77,0)</f>
        <v>480000</v>
      </c>
      <c r="F81" s="16">
        <f t="shared" si="2"/>
        <v>480000</v>
      </c>
      <c r="G81" s="16">
        <f>TRUNC(단가대비표!P77,0)</f>
        <v>86379</v>
      </c>
      <c r="H81" s="16">
        <f t="shared" si="3"/>
        <v>86379</v>
      </c>
      <c r="I81" s="16">
        <f>TRUNC(단가대비표!V77,0)</f>
        <v>0</v>
      </c>
      <c r="J81" s="16">
        <f t="shared" si="4"/>
        <v>0</v>
      </c>
      <c r="K81" s="16">
        <f t="shared" si="5"/>
        <v>566379</v>
      </c>
      <c r="L81" s="16">
        <f t="shared" si="6"/>
        <v>566379</v>
      </c>
      <c r="M81" s="17" t="s">
        <v>294</v>
      </c>
      <c r="N81" s="2" t="s">
        <v>295</v>
      </c>
      <c r="O81" s="2" t="s">
        <v>51</v>
      </c>
      <c r="P81" s="2" t="s">
        <v>51</v>
      </c>
      <c r="Q81" s="2" t="s">
        <v>223</v>
      </c>
      <c r="R81" s="2" t="s">
        <v>61</v>
      </c>
      <c r="S81" s="2" t="s">
        <v>61</v>
      </c>
      <c r="T81" s="2" t="s">
        <v>60</v>
      </c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2" t="s">
        <v>51</v>
      </c>
      <c r="AS81" s="2" t="s">
        <v>51</v>
      </c>
      <c r="AT81" s="3"/>
      <c r="AU81" s="2" t="s">
        <v>296</v>
      </c>
      <c r="AV81" s="3">
        <v>56</v>
      </c>
      <c r="AW81" t="str">
        <f t="shared" si="7"/>
        <v>과(부)압배출구 (성능인증품) 200X200mm</v>
      </c>
    </row>
    <row r="82" spans="1:49" ht="30" hidden="1" customHeight="1" x14ac:dyDescent="0.3">
      <c r="A82" s="17" t="s">
        <v>297</v>
      </c>
      <c r="B82" s="17" t="s">
        <v>298</v>
      </c>
      <c r="C82" s="17" t="s">
        <v>187</v>
      </c>
      <c r="D82" s="41">
        <v>4</v>
      </c>
      <c r="E82" s="16">
        <f>TRUNC(단가대비표!O78,0)</f>
        <v>12000</v>
      </c>
      <c r="F82" s="16">
        <f t="shared" si="2"/>
        <v>48000</v>
      </c>
      <c r="G82" s="16">
        <f>TRUNC(단가대비표!P78,0)</f>
        <v>0</v>
      </c>
      <c r="H82" s="16">
        <f t="shared" si="3"/>
        <v>0</v>
      </c>
      <c r="I82" s="16">
        <f>TRUNC(단가대비표!V78,0)</f>
        <v>0</v>
      </c>
      <c r="J82" s="16">
        <f t="shared" si="4"/>
        <v>0</v>
      </c>
      <c r="K82" s="16">
        <f t="shared" si="5"/>
        <v>12000</v>
      </c>
      <c r="L82" s="16">
        <f t="shared" si="6"/>
        <v>48000</v>
      </c>
      <c r="M82" s="17" t="s">
        <v>299</v>
      </c>
      <c r="N82" s="2" t="s">
        <v>300</v>
      </c>
      <c r="O82" s="2" t="s">
        <v>51</v>
      </c>
      <c r="P82" s="2" t="s">
        <v>51</v>
      </c>
      <c r="Q82" s="2" t="s">
        <v>223</v>
      </c>
      <c r="R82" s="2" t="s">
        <v>61</v>
      </c>
      <c r="S82" s="2" t="s">
        <v>61</v>
      </c>
      <c r="T82" s="2" t="s">
        <v>60</v>
      </c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2" t="s">
        <v>51</v>
      </c>
      <c r="AS82" s="2" t="s">
        <v>51</v>
      </c>
      <c r="AT82" s="3"/>
      <c r="AU82" s="2" t="s">
        <v>301</v>
      </c>
      <c r="AV82" s="3">
        <v>57</v>
      </c>
      <c r="AW82" t="str">
        <f t="shared" si="7"/>
        <v>구역명판 FOMAX</v>
      </c>
    </row>
    <row r="83" spans="1:49" ht="30" hidden="1" customHeight="1" x14ac:dyDescent="0.3">
      <c r="A83" s="17" t="s">
        <v>302</v>
      </c>
      <c r="B83" s="17" t="s">
        <v>298</v>
      </c>
      <c r="C83" s="17" t="s">
        <v>187</v>
      </c>
      <c r="D83" s="41">
        <v>1</v>
      </c>
      <c r="E83" s="16">
        <f>TRUNC(단가대비표!O79,0)</f>
        <v>120000</v>
      </c>
      <c r="F83" s="16">
        <f t="shared" si="2"/>
        <v>120000</v>
      </c>
      <c r="G83" s="16">
        <f>TRUNC(단가대비표!P79,0)</f>
        <v>0</v>
      </c>
      <c r="H83" s="16">
        <f t="shared" si="3"/>
        <v>0</v>
      </c>
      <c r="I83" s="16">
        <f>TRUNC(단가대비표!V79,0)</f>
        <v>0</v>
      </c>
      <c r="J83" s="16">
        <f t="shared" si="4"/>
        <v>0</v>
      </c>
      <c r="K83" s="16">
        <f t="shared" si="5"/>
        <v>120000</v>
      </c>
      <c r="L83" s="16">
        <f t="shared" si="6"/>
        <v>120000</v>
      </c>
      <c r="M83" s="17" t="s">
        <v>303</v>
      </c>
      <c r="N83" s="2" t="s">
        <v>304</v>
      </c>
      <c r="O83" s="2" t="s">
        <v>51</v>
      </c>
      <c r="P83" s="2" t="s">
        <v>51</v>
      </c>
      <c r="Q83" s="2" t="s">
        <v>223</v>
      </c>
      <c r="R83" s="2" t="s">
        <v>61</v>
      </c>
      <c r="S83" s="2" t="s">
        <v>61</v>
      </c>
      <c r="T83" s="2" t="s">
        <v>60</v>
      </c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2" t="s">
        <v>51</v>
      </c>
      <c r="AS83" s="2" t="s">
        <v>51</v>
      </c>
      <c r="AT83" s="3"/>
      <c r="AU83" s="2" t="s">
        <v>305</v>
      </c>
      <c r="AV83" s="3">
        <v>58</v>
      </c>
      <c r="AW83" t="str">
        <f t="shared" si="7"/>
        <v>작동설명판 FOMAX</v>
      </c>
    </row>
    <row r="84" spans="1:49" ht="30" hidden="1" customHeight="1" x14ac:dyDescent="0.3">
      <c r="A84" s="17" t="s">
        <v>306</v>
      </c>
      <c r="B84" s="17" t="s">
        <v>298</v>
      </c>
      <c r="C84" s="17" t="s">
        <v>187</v>
      </c>
      <c r="D84" s="41">
        <v>1</v>
      </c>
      <c r="E84" s="16">
        <f>TRUNC(단가대비표!O80,0)</f>
        <v>120000</v>
      </c>
      <c r="F84" s="16">
        <f t="shared" si="2"/>
        <v>120000</v>
      </c>
      <c r="G84" s="16">
        <f>TRUNC(단가대비표!P80,0)</f>
        <v>0</v>
      </c>
      <c r="H84" s="16">
        <f t="shared" si="3"/>
        <v>0</v>
      </c>
      <c r="I84" s="16">
        <f>TRUNC(단가대비표!V80,0)</f>
        <v>0</v>
      </c>
      <c r="J84" s="16">
        <f t="shared" si="4"/>
        <v>0</v>
      </c>
      <c r="K84" s="16">
        <f t="shared" si="5"/>
        <v>120000</v>
      </c>
      <c r="L84" s="16">
        <f t="shared" si="6"/>
        <v>120000</v>
      </c>
      <c r="M84" s="17" t="s">
        <v>307</v>
      </c>
      <c r="N84" s="2" t="s">
        <v>308</v>
      </c>
      <c r="O84" s="2" t="s">
        <v>51</v>
      </c>
      <c r="P84" s="2" t="s">
        <v>51</v>
      </c>
      <c r="Q84" s="2" t="s">
        <v>223</v>
      </c>
      <c r="R84" s="2" t="s">
        <v>61</v>
      </c>
      <c r="S84" s="2" t="s">
        <v>61</v>
      </c>
      <c r="T84" s="2" t="s">
        <v>60</v>
      </c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2" t="s">
        <v>51</v>
      </c>
      <c r="AS84" s="2" t="s">
        <v>51</v>
      </c>
      <c r="AT84" s="3"/>
      <c r="AU84" s="2" t="s">
        <v>309</v>
      </c>
      <c r="AV84" s="3">
        <v>59</v>
      </c>
      <c r="AW84" t="str">
        <f t="shared" si="7"/>
        <v>방호구역도 FOMAX</v>
      </c>
    </row>
    <row r="85" spans="1:49" ht="30" hidden="1" customHeight="1" x14ac:dyDescent="0.3">
      <c r="A85" s="17" t="s">
        <v>310</v>
      </c>
      <c r="B85" s="17" t="s">
        <v>311</v>
      </c>
      <c r="C85" s="17" t="s">
        <v>74</v>
      </c>
      <c r="D85" s="41">
        <v>18</v>
      </c>
      <c r="E85" s="16">
        <f>TRUNC(단가대비표!O81,0)</f>
        <v>29985</v>
      </c>
      <c r="F85" s="16">
        <f t="shared" si="2"/>
        <v>539730</v>
      </c>
      <c r="G85" s="16">
        <f>TRUNC(단가대비표!P81,0)</f>
        <v>87035</v>
      </c>
      <c r="H85" s="16">
        <f t="shared" si="3"/>
        <v>1566630</v>
      </c>
      <c r="I85" s="16">
        <f>TRUNC(단가대비표!V81,0)</f>
        <v>0</v>
      </c>
      <c r="J85" s="16">
        <f t="shared" si="4"/>
        <v>0</v>
      </c>
      <c r="K85" s="16">
        <f t="shared" si="5"/>
        <v>117020</v>
      </c>
      <c r="L85" s="16">
        <f t="shared" si="6"/>
        <v>2106360</v>
      </c>
      <c r="M85" s="17" t="s">
        <v>312</v>
      </c>
      <c r="N85" s="2" t="s">
        <v>313</v>
      </c>
      <c r="O85" s="2" t="s">
        <v>51</v>
      </c>
      <c r="P85" s="2" t="s">
        <v>51</v>
      </c>
      <c r="Q85" s="2" t="s">
        <v>223</v>
      </c>
      <c r="R85" s="2" t="s">
        <v>61</v>
      </c>
      <c r="S85" s="2" t="s">
        <v>61</v>
      </c>
      <c r="T85" s="2" t="s">
        <v>60</v>
      </c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2" t="s">
        <v>51</v>
      </c>
      <c r="AS85" s="2" t="s">
        <v>51</v>
      </c>
      <c r="AT85" s="3"/>
      <c r="AU85" s="2" t="s">
        <v>314</v>
      </c>
      <c r="AV85" s="3">
        <v>60</v>
      </c>
      <c r="AW85" t="str">
        <f t="shared" si="7"/>
        <v>KSD-3562 SCH40(백관) 100A</v>
      </c>
    </row>
    <row r="86" spans="1:49" ht="30" hidden="1" customHeight="1" x14ac:dyDescent="0.3">
      <c r="A86" s="17" t="s">
        <v>310</v>
      </c>
      <c r="B86" s="17" t="s">
        <v>315</v>
      </c>
      <c r="C86" s="17" t="s">
        <v>74</v>
      </c>
      <c r="D86" s="41">
        <v>7</v>
      </c>
      <c r="E86" s="16">
        <f>TRUNC(단가대비표!O82,0)</f>
        <v>17060</v>
      </c>
      <c r="F86" s="16">
        <f t="shared" si="2"/>
        <v>119420</v>
      </c>
      <c r="G86" s="16">
        <f>TRUNC(단가대비표!P82,0)</f>
        <v>46967</v>
      </c>
      <c r="H86" s="16">
        <f t="shared" si="3"/>
        <v>328769</v>
      </c>
      <c r="I86" s="16">
        <f>TRUNC(단가대비표!V82,0)</f>
        <v>0</v>
      </c>
      <c r="J86" s="16">
        <f t="shared" si="4"/>
        <v>0</v>
      </c>
      <c r="K86" s="16">
        <f t="shared" si="5"/>
        <v>64027</v>
      </c>
      <c r="L86" s="16">
        <f t="shared" si="6"/>
        <v>448189</v>
      </c>
      <c r="M86" s="17" t="s">
        <v>316</v>
      </c>
      <c r="N86" s="2" t="s">
        <v>317</v>
      </c>
      <c r="O86" s="2" t="s">
        <v>51</v>
      </c>
      <c r="P86" s="2" t="s">
        <v>51</v>
      </c>
      <c r="Q86" s="2" t="s">
        <v>223</v>
      </c>
      <c r="R86" s="2" t="s">
        <v>61</v>
      </c>
      <c r="S86" s="2" t="s">
        <v>61</v>
      </c>
      <c r="T86" s="2" t="s">
        <v>60</v>
      </c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2" t="s">
        <v>51</v>
      </c>
      <c r="AS86" s="2" t="s">
        <v>51</v>
      </c>
      <c r="AT86" s="3"/>
      <c r="AU86" s="2" t="s">
        <v>318</v>
      </c>
      <c r="AV86" s="3">
        <v>61</v>
      </c>
      <c r="AW86" t="str">
        <f t="shared" si="7"/>
        <v>KSD-3562 SCH40(백관) 65A</v>
      </c>
    </row>
    <row r="87" spans="1:49" ht="30" hidden="1" customHeight="1" x14ac:dyDescent="0.3">
      <c r="A87" s="17" t="s">
        <v>310</v>
      </c>
      <c r="B87" s="17" t="s">
        <v>265</v>
      </c>
      <c r="C87" s="17" t="s">
        <v>74</v>
      </c>
      <c r="D87" s="41">
        <v>31</v>
      </c>
      <c r="E87" s="16">
        <f>TRUNC(단가대비표!O83,0)</f>
        <v>10190</v>
      </c>
      <c r="F87" s="16">
        <f t="shared" si="2"/>
        <v>315890</v>
      </c>
      <c r="G87" s="16">
        <f>TRUNC(단가대비표!P83,0)</f>
        <v>40646</v>
      </c>
      <c r="H87" s="16">
        <f t="shared" si="3"/>
        <v>1260026</v>
      </c>
      <c r="I87" s="16">
        <f>TRUNC(단가대비표!V83,0)</f>
        <v>0</v>
      </c>
      <c r="J87" s="16">
        <f t="shared" si="4"/>
        <v>0</v>
      </c>
      <c r="K87" s="16">
        <f t="shared" si="5"/>
        <v>50836</v>
      </c>
      <c r="L87" s="16">
        <f t="shared" si="6"/>
        <v>1575916</v>
      </c>
      <c r="M87" s="17" t="s">
        <v>319</v>
      </c>
      <c r="N87" s="2" t="s">
        <v>320</v>
      </c>
      <c r="O87" s="2" t="s">
        <v>51</v>
      </c>
      <c r="P87" s="2" t="s">
        <v>51</v>
      </c>
      <c r="Q87" s="2" t="s">
        <v>223</v>
      </c>
      <c r="R87" s="2" t="s">
        <v>61</v>
      </c>
      <c r="S87" s="2" t="s">
        <v>61</v>
      </c>
      <c r="T87" s="2" t="s">
        <v>60</v>
      </c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2" t="s">
        <v>51</v>
      </c>
      <c r="AS87" s="2" t="s">
        <v>51</v>
      </c>
      <c r="AT87" s="3"/>
      <c r="AU87" s="2" t="s">
        <v>321</v>
      </c>
      <c r="AV87" s="3">
        <v>62</v>
      </c>
      <c r="AW87" t="str">
        <f t="shared" si="7"/>
        <v>KSD-3562 SCH40(백관) 50A</v>
      </c>
    </row>
    <row r="88" spans="1:49" ht="30" hidden="1" customHeight="1" x14ac:dyDescent="0.3">
      <c r="A88" s="17" t="s">
        <v>310</v>
      </c>
      <c r="B88" s="17" t="s">
        <v>273</v>
      </c>
      <c r="C88" s="17" t="s">
        <v>74</v>
      </c>
      <c r="D88" s="41">
        <v>21</v>
      </c>
      <c r="E88" s="16">
        <f>TRUNC(단가대비표!O84,0)</f>
        <v>7304</v>
      </c>
      <c r="F88" s="16">
        <f t="shared" si="2"/>
        <v>153384</v>
      </c>
      <c r="G88" s="16">
        <f>TRUNC(단가대비표!P84,0)</f>
        <v>31514</v>
      </c>
      <c r="H88" s="16">
        <f t="shared" si="3"/>
        <v>661794</v>
      </c>
      <c r="I88" s="16">
        <f>TRUNC(단가대비표!V84,0)</f>
        <v>0</v>
      </c>
      <c r="J88" s="16">
        <f t="shared" si="4"/>
        <v>0</v>
      </c>
      <c r="K88" s="16">
        <f t="shared" si="5"/>
        <v>38818</v>
      </c>
      <c r="L88" s="16">
        <f t="shared" si="6"/>
        <v>815178</v>
      </c>
      <c r="M88" s="17" t="s">
        <v>322</v>
      </c>
      <c r="N88" s="2" t="s">
        <v>323</v>
      </c>
      <c r="O88" s="2" t="s">
        <v>51</v>
      </c>
      <c r="P88" s="2" t="s">
        <v>51</v>
      </c>
      <c r="Q88" s="2" t="s">
        <v>223</v>
      </c>
      <c r="R88" s="2" t="s">
        <v>61</v>
      </c>
      <c r="S88" s="2" t="s">
        <v>61</v>
      </c>
      <c r="T88" s="2" t="s">
        <v>60</v>
      </c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2" t="s">
        <v>51</v>
      </c>
      <c r="AS88" s="2" t="s">
        <v>51</v>
      </c>
      <c r="AT88" s="3"/>
      <c r="AU88" s="2" t="s">
        <v>324</v>
      </c>
      <c r="AV88" s="3">
        <v>63</v>
      </c>
      <c r="AW88" t="str">
        <f t="shared" si="7"/>
        <v>KSD-3562 SCH40(백관) 40A</v>
      </c>
    </row>
    <row r="89" spans="1:49" ht="30" hidden="1" customHeight="1" x14ac:dyDescent="0.3">
      <c r="A89" s="17" t="s">
        <v>325</v>
      </c>
      <c r="B89" s="17" t="s">
        <v>326</v>
      </c>
      <c r="C89" s="17" t="s">
        <v>187</v>
      </c>
      <c r="D89" s="41">
        <v>5</v>
      </c>
      <c r="E89" s="16">
        <f>TRUNC(단가대비표!O85,0)</f>
        <v>23700</v>
      </c>
      <c r="F89" s="16">
        <f t="shared" si="2"/>
        <v>118500</v>
      </c>
      <c r="G89" s="16">
        <f>TRUNC(단가대비표!P85,0)</f>
        <v>0</v>
      </c>
      <c r="H89" s="16">
        <f t="shared" si="3"/>
        <v>0</v>
      </c>
      <c r="I89" s="16">
        <f>TRUNC(단가대비표!V85,0)</f>
        <v>0</v>
      </c>
      <c r="J89" s="16">
        <f t="shared" si="4"/>
        <v>0</v>
      </c>
      <c r="K89" s="16">
        <f t="shared" si="5"/>
        <v>23700</v>
      </c>
      <c r="L89" s="16">
        <f t="shared" si="6"/>
        <v>118500</v>
      </c>
      <c r="M89" s="17" t="s">
        <v>327</v>
      </c>
      <c r="N89" s="2" t="s">
        <v>328</v>
      </c>
      <c r="O89" s="2" t="s">
        <v>51</v>
      </c>
      <c r="P89" s="2" t="s">
        <v>51</v>
      </c>
      <c r="Q89" s="2" t="s">
        <v>223</v>
      </c>
      <c r="R89" s="2" t="s">
        <v>61</v>
      </c>
      <c r="S89" s="2" t="s">
        <v>61</v>
      </c>
      <c r="T89" s="2" t="s">
        <v>60</v>
      </c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2" t="s">
        <v>51</v>
      </c>
      <c r="AS89" s="2" t="s">
        <v>51</v>
      </c>
      <c r="AT89" s="3"/>
      <c r="AU89" s="2" t="s">
        <v>329</v>
      </c>
      <c r="AV89" s="3">
        <v>64</v>
      </c>
      <c r="AW89" t="str">
        <f t="shared" si="7"/>
        <v>SCH40 그루브 관이음쇠 엘보 , 100A</v>
      </c>
    </row>
    <row r="90" spans="1:49" ht="30" hidden="1" customHeight="1" x14ac:dyDescent="0.3">
      <c r="A90" s="17" t="s">
        <v>325</v>
      </c>
      <c r="B90" s="17" t="s">
        <v>330</v>
      </c>
      <c r="C90" s="17" t="s">
        <v>187</v>
      </c>
      <c r="D90" s="41">
        <v>1</v>
      </c>
      <c r="E90" s="16">
        <f>TRUNC(단가대비표!O86,0)</f>
        <v>35900</v>
      </c>
      <c r="F90" s="16">
        <f t="shared" si="2"/>
        <v>35900</v>
      </c>
      <c r="G90" s="16">
        <f>TRUNC(단가대비표!P86,0)</f>
        <v>0</v>
      </c>
      <c r="H90" s="16">
        <f t="shared" si="3"/>
        <v>0</v>
      </c>
      <c r="I90" s="16">
        <f>TRUNC(단가대비표!V86,0)</f>
        <v>0</v>
      </c>
      <c r="J90" s="16">
        <f t="shared" si="4"/>
        <v>0</v>
      </c>
      <c r="K90" s="16">
        <f t="shared" si="5"/>
        <v>35900</v>
      </c>
      <c r="L90" s="16">
        <f t="shared" si="6"/>
        <v>35900</v>
      </c>
      <c r="M90" s="17" t="s">
        <v>331</v>
      </c>
      <c r="N90" s="2" t="s">
        <v>332</v>
      </c>
      <c r="O90" s="2" t="s">
        <v>51</v>
      </c>
      <c r="P90" s="2" t="s">
        <v>51</v>
      </c>
      <c r="Q90" s="2" t="s">
        <v>223</v>
      </c>
      <c r="R90" s="2" t="s">
        <v>61</v>
      </c>
      <c r="S90" s="2" t="s">
        <v>61</v>
      </c>
      <c r="T90" s="2" t="s">
        <v>60</v>
      </c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2" t="s">
        <v>51</v>
      </c>
      <c r="AS90" s="2" t="s">
        <v>51</v>
      </c>
      <c r="AT90" s="3"/>
      <c r="AU90" s="2" t="s">
        <v>333</v>
      </c>
      <c r="AV90" s="3">
        <v>65</v>
      </c>
      <c r="AW90" t="str">
        <f t="shared" si="7"/>
        <v>SCH40 그루브 관이음쇠 TEE , 100A</v>
      </c>
    </row>
    <row r="91" spans="1:49" ht="30" hidden="1" customHeight="1" x14ac:dyDescent="0.3">
      <c r="A91" s="17" t="s">
        <v>325</v>
      </c>
      <c r="B91" s="17" t="s">
        <v>334</v>
      </c>
      <c r="C91" s="17" t="s">
        <v>187</v>
      </c>
      <c r="D91" s="41">
        <v>2</v>
      </c>
      <c r="E91" s="16">
        <f>TRUNC(단가대비표!O87,0)</f>
        <v>17300</v>
      </c>
      <c r="F91" s="16">
        <f t="shared" si="2"/>
        <v>34600</v>
      </c>
      <c r="G91" s="16">
        <f>TRUNC(단가대비표!P87,0)</f>
        <v>0</v>
      </c>
      <c r="H91" s="16">
        <f t="shared" si="3"/>
        <v>0</v>
      </c>
      <c r="I91" s="16">
        <f>TRUNC(단가대비표!V87,0)</f>
        <v>0</v>
      </c>
      <c r="J91" s="16">
        <f t="shared" si="4"/>
        <v>0</v>
      </c>
      <c r="K91" s="16">
        <f t="shared" si="5"/>
        <v>17300</v>
      </c>
      <c r="L91" s="16">
        <f t="shared" si="6"/>
        <v>34600</v>
      </c>
      <c r="M91" s="17" t="s">
        <v>335</v>
      </c>
      <c r="N91" s="2" t="s">
        <v>336</v>
      </c>
      <c r="O91" s="2" t="s">
        <v>51</v>
      </c>
      <c r="P91" s="2" t="s">
        <v>51</v>
      </c>
      <c r="Q91" s="2" t="s">
        <v>223</v>
      </c>
      <c r="R91" s="2" t="s">
        <v>61</v>
      </c>
      <c r="S91" s="2" t="s">
        <v>61</v>
      </c>
      <c r="T91" s="2" t="s">
        <v>60</v>
      </c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2" t="s">
        <v>51</v>
      </c>
      <c r="AS91" s="2" t="s">
        <v>51</v>
      </c>
      <c r="AT91" s="3"/>
      <c r="AU91" s="2" t="s">
        <v>337</v>
      </c>
      <c r="AV91" s="3">
        <v>66</v>
      </c>
      <c r="AW91" t="str">
        <f t="shared" si="7"/>
        <v>SCH40 그루브 관이음쇠 TEE , 65A</v>
      </c>
    </row>
    <row r="92" spans="1:49" ht="30" hidden="1" customHeight="1" x14ac:dyDescent="0.3">
      <c r="A92" s="17" t="s">
        <v>325</v>
      </c>
      <c r="B92" s="17" t="s">
        <v>338</v>
      </c>
      <c r="C92" s="17" t="s">
        <v>187</v>
      </c>
      <c r="D92" s="41">
        <v>2</v>
      </c>
      <c r="E92" s="16">
        <f>TRUNC(단가대비표!O88,0)</f>
        <v>20100</v>
      </c>
      <c r="F92" s="16">
        <f t="shared" si="2"/>
        <v>40200</v>
      </c>
      <c r="G92" s="16">
        <f>TRUNC(단가대비표!P88,0)</f>
        <v>0</v>
      </c>
      <c r="H92" s="16">
        <f t="shared" si="3"/>
        <v>0</v>
      </c>
      <c r="I92" s="16">
        <f>TRUNC(단가대비표!V88,0)</f>
        <v>0</v>
      </c>
      <c r="J92" s="16">
        <f t="shared" si="4"/>
        <v>0</v>
      </c>
      <c r="K92" s="16">
        <f t="shared" si="5"/>
        <v>20100</v>
      </c>
      <c r="L92" s="16">
        <f t="shared" si="6"/>
        <v>40200</v>
      </c>
      <c r="M92" s="17" t="s">
        <v>339</v>
      </c>
      <c r="N92" s="2" t="s">
        <v>340</v>
      </c>
      <c r="O92" s="2" t="s">
        <v>51</v>
      </c>
      <c r="P92" s="2" t="s">
        <v>51</v>
      </c>
      <c r="Q92" s="2" t="s">
        <v>223</v>
      </c>
      <c r="R92" s="2" t="s">
        <v>61</v>
      </c>
      <c r="S92" s="2" t="s">
        <v>61</v>
      </c>
      <c r="T92" s="2" t="s">
        <v>60</v>
      </c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2" t="s">
        <v>51</v>
      </c>
      <c r="AS92" s="2" t="s">
        <v>51</v>
      </c>
      <c r="AT92" s="3"/>
      <c r="AU92" s="2" t="s">
        <v>341</v>
      </c>
      <c r="AV92" s="3">
        <v>67</v>
      </c>
      <c r="AW92" t="str">
        <f t="shared" si="7"/>
        <v>SCH40 그루브 관이음쇠 R/S , 100x65</v>
      </c>
    </row>
    <row r="93" spans="1:49" ht="30" hidden="1" customHeight="1" x14ac:dyDescent="0.3">
      <c r="A93" s="17" t="s">
        <v>325</v>
      </c>
      <c r="B93" s="17" t="s">
        <v>342</v>
      </c>
      <c r="C93" s="17" t="s">
        <v>187</v>
      </c>
      <c r="D93" s="41">
        <v>1</v>
      </c>
      <c r="E93" s="16">
        <f>TRUNC(단가대비표!O89,0)</f>
        <v>20100</v>
      </c>
      <c r="F93" s="16">
        <f t="shared" si="2"/>
        <v>20100</v>
      </c>
      <c r="G93" s="16">
        <f>TRUNC(단가대비표!P89,0)</f>
        <v>0</v>
      </c>
      <c r="H93" s="16">
        <f t="shared" si="3"/>
        <v>0</v>
      </c>
      <c r="I93" s="16">
        <f>TRUNC(단가대비표!V89,0)</f>
        <v>0</v>
      </c>
      <c r="J93" s="16">
        <f t="shared" si="4"/>
        <v>0</v>
      </c>
      <c r="K93" s="16">
        <f t="shared" si="5"/>
        <v>20100</v>
      </c>
      <c r="L93" s="16">
        <f t="shared" si="6"/>
        <v>20100</v>
      </c>
      <c r="M93" s="17" t="s">
        <v>343</v>
      </c>
      <c r="N93" s="2" t="s">
        <v>344</v>
      </c>
      <c r="O93" s="2" t="s">
        <v>51</v>
      </c>
      <c r="P93" s="2" t="s">
        <v>51</v>
      </c>
      <c r="Q93" s="2" t="s">
        <v>223</v>
      </c>
      <c r="R93" s="2" t="s">
        <v>61</v>
      </c>
      <c r="S93" s="2" t="s">
        <v>61</v>
      </c>
      <c r="T93" s="2" t="s">
        <v>60</v>
      </c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2" t="s">
        <v>51</v>
      </c>
      <c r="AS93" s="2" t="s">
        <v>51</v>
      </c>
      <c r="AT93" s="3"/>
      <c r="AU93" s="2" t="s">
        <v>345</v>
      </c>
      <c r="AV93" s="3">
        <v>68</v>
      </c>
      <c r="AW93" t="str">
        <f t="shared" si="7"/>
        <v>SCH40 그루브 관이음쇠 R/S , 100x40</v>
      </c>
    </row>
    <row r="94" spans="1:49" ht="30" hidden="1" customHeight="1" x14ac:dyDescent="0.3">
      <c r="A94" s="17" t="s">
        <v>325</v>
      </c>
      <c r="B94" s="17" t="s">
        <v>346</v>
      </c>
      <c r="C94" s="17" t="s">
        <v>187</v>
      </c>
      <c r="D94" s="41">
        <v>4</v>
      </c>
      <c r="E94" s="16">
        <f>TRUNC(단가대비표!O90,0)</f>
        <v>14300</v>
      </c>
      <c r="F94" s="16">
        <f t="shared" si="2"/>
        <v>57200</v>
      </c>
      <c r="G94" s="16">
        <f>TRUNC(단가대비표!P90,0)</f>
        <v>0</v>
      </c>
      <c r="H94" s="16">
        <f t="shared" si="3"/>
        <v>0</v>
      </c>
      <c r="I94" s="16">
        <f>TRUNC(단가대비표!V90,0)</f>
        <v>0</v>
      </c>
      <c r="J94" s="16">
        <f t="shared" si="4"/>
        <v>0</v>
      </c>
      <c r="K94" s="16">
        <f t="shared" si="5"/>
        <v>14300</v>
      </c>
      <c r="L94" s="16">
        <f t="shared" si="6"/>
        <v>57200</v>
      </c>
      <c r="M94" s="17" t="s">
        <v>347</v>
      </c>
      <c r="N94" s="2" t="s">
        <v>348</v>
      </c>
      <c r="O94" s="2" t="s">
        <v>51</v>
      </c>
      <c r="P94" s="2" t="s">
        <v>51</v>
      </c>
      <c r="Q94" s="2" t="s">
        <v>223</v>
      </c>
      <c r="R94" s="2" t="s">
        <v>61</v>
      </c>
      <c r="S94" s="2" t="s">
        <v>61</v>
      </c>
      <c r="T94" s="2" t="s">
        <v>60</v>
      </c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2" t="s">
        <v>51</v>
      </c>
      <c r="AS94" s="2" t="s">
        <v>51</v>
      </c>
      <c r="AT94" s="3"/>
      <c r="AU94" s="2" t="s">
        <v>349</v>
      </c>
      <c r="AV94" s="3">
        <v>69</v>
      </c>
      <c r="AW94" t="str">
        <f t="shared" si="7"/>
        <v>SCH40 그루브 관이음쇠 R/S , 65x50</v>
      </c>
    </row>
    <row r="95" spans="1:49" ht="30" hidden="1" customHeight="1" x14ac:dyDescent="0.3">
      <c r="A95" s="17" t="s">
        <v>350</v>
      </c>
      <c r="B95" s="17" t="s">
        <v>351</v>
      </c>
      <c r="C95" s="17" t="s">
        <v>187</v>
      </c>
      <c r="D95" s="41">
        <v>15</v>
      </c>
      <c r="E95" s="16">
        <f>TRUNC(단가대비표!O91,0)</f>
        <v>22800</v>
      </c>
      <c r="F95" s="16">
        <f t="shared" si="2"/>
        <v>342000</v>
      </c>
      <c r="G95" s="16">
        <f>TRUNC(단가대비표!P91,0)</f>
        <v>0</v>
      </c>
      <c r="H95" s="16">
        <f t="shared" si="3"/>
        <v>0</v>
      </c>
      <c r="I95" s="16">
        <f>TRUNC(단가대비표!V91,0)</f>
        <v>0</v>
      </c>
      <c r="J95" s="16">
        <f t="shared" si="4"/>
        <v>0</v>
      </c>
      <c r="K95" s="16">
        <f t="shared" si="5"/>
        <v>22800</v>
      </c>
      <c r="L95" s="16">
        <f t="shared" si="6"/>
        <v>342000</v>
      </c>
      <c r="M95" s="17" t="s">
        <v>352</v>
      </c>
      <c r="N95" s="2" t="s">
        <v>353</v>
      </c>
      <c r="O95" s="2" t="s">
        <v>51</v>
      </c>
      <c r="P95" s="2" t="s">
        <v>51</v>
      </c>
      <c r="Q95" s="2" t="s">
        <v>223</v>
      </c>
      <c r="R95" s="2" t="s">
        <v>61</v>
      </c>
      <c r="S95" s="2" t="s">
        <v>61</v>
      </c>
      <c r="T95" s="2" t="s">
        <v>60</v>
      </c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2" t="s">
        <v>51</v>
      </c>
      <c r="AS95" s="2" t="s">
        <v>51</v>
      </c>
      <c r="AT95" s="3"/>
      <c r="AU95" s="2" t="s">
        <v>354</v>
      </c>
      <c r="AV95" s="3">
        <v>70</v>
      </c>
      <c r="AW95" t="str">
        <f t="shared" si="7"/>
        <v>플렉시블 커플링(그루브) 유동식 , 100A</v>
      </c>
    </row>
    <row r="96" spans="1:49" ht="30" hidden="1" customHeight="1" x14ac:dyDescent="0.3">
      <c r="A96" s="17" t="s">
        <v>350</v>
      </c>
      <c r="B96" s="17" t="s">
        <v>355</v>
      </c>
      <c r="C96" s="17" t="s">
        <v>187</v>
      </c>
      <c r="D96" s="41">
        <v>11</v>
      </c>
      <c r="E96" s="16">
        <f>TRUNC(단가대비표!O92,0)</f>
        <v>14200</v>
      </c>
      <c r="F96" s="16">
        <f t="shared" si="2"/>
        <v>156200</v>
      </c>
      <c r="G96" s="16">
        <f>TRUNC(단가대비표!P92,0)</f>
        <v>0</v>
      </c>
      <c r="H96" s="16">
        <f t="shared" si="3"/>
        <v>0</v>
      </c>
      <c r="I96" s="16">
        <f>TRUNC(단가대비표!V92,0)</f>
        <v>0</v>
      </c>
      <c r="J96" s="16">
        <f t="shared" si="4"/>
        <v>0</v>
      </c>
      <c r="K96" s="16">
        <f t="shared" si="5"/>
        <v>14200</v>
      </c>
      <c r="L96" s="16">
        <f t="shared" si="6"/>
        <v>156200</v>
      </c>
      <c r="M96" s="17" t="s">
        <v>356</v>
      </c>
      <c r="N96" s="2" t="s">
        <v>357</v>
      </c>
      <c r="O96" s="2" t="s">
        <v>51</v>
      </c>
      <c r="P96" s="2" t="s">
        <v>51</v>
      </c>
      <c r="Q96" s="2" t="s">
        <v>223</v>
      </c>
      <c r="R96" s="2" t="s">
        <v>61</v>
      </c>
      <c r="S96" s="2" t="s">
        <v>61</v>
      </c>
      <c r="T96" s="2" t="s">
        <v>60</v>
      </c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2" t="s">
        <v>51</v>
      </c>
      <c r="AS96" s="2" t="s">
        <v>51</v>
      </c>
      <c r="AT96" s="3"/>
      <c r="AU96" s="2" t="s">
        <v>358</v>
      </c>
      <c r="AV96" s="3">
        <v>71</v>
      </c>
      <c r="AW96" t="str">
        <f t="shared" si="7"/>
        <v>플렉시블 커플링(그루브) 유동식 , 65A</v>
      </c>
    </row>
    <row r="97" spans="1:49" ht="30" hidden="1" customHeight="1" x14ac:dyDescent="0.3">
      <c r="A97" s="17" t="s">
        <v>350</v>
      </c>
      <c r="B97" s="17" t="s">
        <v>359</v>
      </c>
      <c r="C97" s="17" t="s">
        <v>187</v>
      </c>
      <c r="D97" s="41">
        <v>4</v>
      </c>
      <c r="E97" s="16">
        <f>TRUNC(단가대비표!O93,0)</f>
        <v>11300</v>
      </c>
      <c r="F97" s="16">
        <f t="shared" ref="F97:F128" si="8">TRUNC(E97*D97, 0)</f>
        <v>45200</v>
      </c>
      <c r="G97" s="16">
        <f>TRUNC(단가대비표!P93,0)</f>
        <v>0</v>
      </c>
      <c r="H97" s="16">
        <f t="shared" ref="H97:H128" si="9">TRUNC(G97*D97, 0)</f>
        <v>0</v>
      </c>
      <c r="I97" s="16">
        <f>TRUNC(단가대비표!V93,0)</f>
        <v>0</v>
      </c>
      <c r="J97" s="16">
        <f t="shared" ref="J97:J128" si="10">TRUNC(I97*D97, 0)</f>
        <v>0</v>
      </c>
      <c r="K97" s="16">
        <f t="shared" ref="K97:K128" si="11">TRUNC(E97+G97+I97, 0)</f>
        <v>11300</v>
      </c>
      <c r="L97" s="16">
        <f t="shared" ref="L97:L128" si="12">TRUNC(F97+H97+J97, 0)</f>
        <v>45200</v>
      </c>
      <c r="M97" s="17" t="s">
        <v>360</v>
      </c>
      <c r="N97" s="2" t="s">
        <v>361</v>
      </c>
      <c r="O97" s="2" t="s">
        <v>51</v>
      </c>
      <c r="P97" s="2" t="s">
        <v>51</v>
      </c>
      <c r="Q97" s="2" t="s">
        <v>223</v>
      </c>
      <c r="R97" s="2" t="s">
        <v>61</v>
      </c>
      <c r="S97" s="2" t="s">
        <v>61</v>
      </c>
      <c r="T97" s="2" t="s">
        <v>60</v>
      </c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2" t="s">
        <v>51</v>
      </c>
      <c r="AS97" s="2" t="s">
        <v>51</v>
      </c>
      <c r="AT97" s="3"/>
      <c r="AU97" s="2" t="s">
        <v>362</v>
      </c>
      <c r="AV97" s="3">
        <v>72</v>
      </c>
      <c r="AW97" t="str">
        <f t="shared" si="7"/>
        <v>플렉시블 커플링(그루브) 유동식 , 50A</v>
      </c>
    </row>
    <row r="98" spans="1:49" ht="30" hidden="1" customHeight="1" x14ac:dyDescent="0.3">
      <c r="A98" s="17" t="s">
        <v>363</v>
      </c>
      <c r="B98" s="17" t="s">
        <v>364</v>
      </c>
      <c r="C98" s="17" t="s">
        <v>187</v>
      </c>
      <c r="D98" s="41">
        <v>20</v>
      </c>
      <c r="E98" s="16">
        <f>TRUNC(단가대비표!O94,0)</f>
        <v>20090</v>
      </c>
      <c r="F98" s="16">
        <f t="shared" si="8"/>
        <v>401800</v>
      </c>
      <c r="G98" s="16">
        <f>TRUNC(단가대비표!P94,0)</f>
        <v>0</v>
      </c>
      <c r="H98" s="16">
        <f t="shared" si="9"/>
        <v>0</v>
      </c>
      <c r="I98" s="16">
        <f>TRUNC(단가대비표!V94,0)</f>
        <v>0</v>
      </c>
      <c r="J98" s="16">
        <f t="shared" si="10"/>
        <v>0</v>
      </c>
      <c r="K98" s="16">
        <f t="shared" si="11"/>
        <v>20090</v>
      </c>
      <c r="L98" s="16">
        <f t="shared" si="12"/>
        <v>401800</v>
      </c>
      <c r="M98" s="17" t="s">
        <v>365</v>
      </c>
      <c r="N98" s="2" t="s">
        <v>366</v>
      </c>
      <c r="O98" s="2" t="s">
        <v>51</v>
      </c>
      <c r="P98" s="2" t="s">
        <v>51</v>
      </c>
      <c r="Q98" s="2" t="s">
        <v>223</v>
      </c>
      <c r="R98" s="2" t="s">
        <v>61</v>
      </c>
      <c r="S98" s="2" t="s">
        <v>61</v>
      </c>
      <c r="T98" s="2" t="s">
        <v>60</v>
      </c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2" t="s">
        <v>51</v>
      </c>
      <c r="AS98" s="2" t="s">
        <v>51</v>
      </c>
      <c r="AT98" s="3"/>
      <c r="AU98" s="2" t="s">
        <v>367</v>
      </c>
      <c r="AV98" s="3">
        <v>73</v>
      </c>
      <c r="AW98" t="str">
        <f t="shared" si="7"/>
        <v>일반단조관이음쇠 90엘보, 나사식 , 50A</v>
      </c>
    </row>
    <row r="99" spans="1:49" ht="30" hidden="1" customHeight="1" x14ac:dyDescent="0.3">
      <c r="A99" s="17" t="s">
        <v>363</v>
      </c>
      <c r="B99" s="17" t="s">
        <v>368</v>
      </c>
      <c r="C99" s="17" t="s">
        <v>187</v>
      </c>
      <c r="D99" s="41">
        <v>6</v>
      </c>
      <c r="E99" s="16">
        <f>TRUNC(단가대비표!O95,0)</f>
        <v>11930</v>
      </c>
      <c r="F99" s="16">
        <f t="shared" si="8"/>
        <v>71580</v>
      </c>
      <c r="G99" s="16">
        <f>TRUNC(단가대비표!P95,0)</f>
        <v>0</v>
      </c>
      <c r="H99" s="16">
        <f t="shared" si="9"/>
        <v>0</v>
      </c>
      <c r="I99" s="16">
        <f>TRUNC(단가대비표!V95,0)</f>
        <v>0</v>
      </c>
      <c r="J99" s="16">
        <f t="shared" si="10"/>
        <v>0</v>
      </c>
      <c r="K99" s="16">
        <f t="shared" si="11"/>
        <v>11930</v>
      </c>
      <c r="L99" s="16">
        <f t="shared" si="12"/>
        <v>71580</v>
      </c>
      <c r="M99" s="17" t="s">
        <v>369</v>
      </c>
      <c r="N99" s="2" t="s">
        <v>370</v>
      </c>
      <c r="O99" s="2" t="s">
        <v>51</v>
      </c>
      <c r="P99" s="2" t="s">
        <v>51</v>
      </c>
      <c r="Q99" s="2" t="s">
        <v>223</v>
      </c>
      <c r="R99" s="2" t="s">
        <v>61</v>
      </c>
      <c r="S99" s="2" t="s">
        <v>61</v>
      </c>
      <c r="T99" s="2" t="s">
        <v>60</v>
      </c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2" t="s">
        <v>51</v>
      </c>
      <c r="AS99" s="2" t="s">
        <v>51</v>
      </c>
      <c r="AT99" s="3"/>
      <c r="AU99" s="2" t="s">
        <v>371</v>
      </c>
      <c r="AV99" s="3">
        <v>74</v>
      </c>
      <c r="AW99" t="str">
        <f t="shared" si="7"/>
        <v>일반단조관이음쇠 90엘보, 나사식 , 40A</v>
      </c>
    </row>
    <row r="100" spans="1:49" ht="30" hidden="1" customHeight="1" x14ac:dyDescent="0.3">
      <c r="A100" s="17" t="s">
        <v>363</v>
      </c>
      <c r="B100" s="17" t="s">
        <v>372</v>
      </c>
      <c r="C100" s="17" t="s">
        <v>187</v>
      </c>
      <c r="D100" s="41">
        <v>2</v>
      </c>
      <c r="E100" s="16">
        <f>TRUNC(단가대비표!O96,0)</f>
        <v>27950</v>
      </c>
      <c r="F100" s="16">
        <f t="shared" si="8"/>
        <v>55900</v>
      </c>
      <c r="G100" s="16">
        <f>TRUNC(단가대비표!P96,0)</f>
        <v>0</v>
      </c>
      <c r="H100" s="16">
        <f t="shared" si="9"/>
        <v>0</v>
      </c>
      <c r="I100" s="16">
        <f>TRUNC(단가대비표!V96,0)</f>
        <v>0</v>
      </c>
      <c r="J100" s="16">
        <f t="shared" si="10"/>
        <v>0</v>
      </c>
      <c r="K100" s="16">
        <f t="shared" si="11"/>
        <v>27950</v>
      </c>
      <c r="L100" s="16">
        <f t="shared" si="12"/>
        <v>55900</v>
      </c>
      <c r="M100" s="17" t="s">
        <v>373</v>
      </c>
      <c r="N100" s="2" t="s">
        <v>374</v>
      </c>
      <c r="O100" s="2" t="s">
        <v>51</v>
      </c>
      <c r="P100" s="2" t="s">
        <v>51</v>
      </c>
      <c r="Q100" s="2" t="s">
        <v>223</v>
      </c>
      <c r="R100" s="2" t="s">
        <v>61</v>
      </c>
      <c r="S100" s="2" t="s">
        <v>61</v>
      </c>
      <c r="T100" s="2" t="s">
        <v>60</v>
      </c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2" t="s">
        <v>51</v>
      </c>
      <c r="AS100" s="2" t="s">
        <v>51</v>
      </c>
      <c r="AT100" s="3"/>
      <c r="AU100" s="2" t="s">
        <v>375</v>
      </c>
      <c r="AV100" s="3">
        <v>75</v>
      </c>
      <c r="AW100" t="str">
        <f t="shared" si="7"/>
        <v>일반단조관이음쇠 TEE , 나사식 , 50x40</v>
      </c>
    </row>
    <row r="101" spans="1:49" ht="30" hidden="1" customHeight="1" x14ac:dyDescent="0.3">
      <c r="A101" s="17" t="s">
        <v>363</v>
      </c>
      <c r="B101" s="17" t="s">
        <v>376</v>
      </c>
      <c r="C101" s="17" t="s">
        <v>187</v>
      </c>
      <c r="D101" s="41">
        <v>2</v>
      </c>
      <c r="E101" s="16">
        <f>TRUNC(단가대비표!O97,0)</f>
        <v>12930</v>
      </c>
      <c r="F101" s="16">
        <f t="shared" si="8"/>
        <v>25860</v>
      </c>
      <c r="G101" s="16">
        <f>TRUNC(단가대비표!P97,0)</f>
        <v>0</v>
      </c>
      <c r="H101" s="16">
        <f t="shared" si="9"/>
        <v>0</v>
      </c>
      <c r="I101" s="16">
        <f>TRUNC(단가대비표!V97,0)</f>
        <v>0</v>
      </c>
      <c r="J101" s="16">
        <f t="shared" si="10"/>
        <v>0</v>
      </c>
      <c r="K101" s="16">
        <f t="shared" si="11"/>
        <v>12930</v>
      </c>
      <c r="L101" s="16">
        <f t="shared" si="12"/>
        <v>25860</v>
      </c>
      <c r="M101" s="17" t="s">
        <v>377</v>
      </c>
      <c r="N101" s="2" t="s">
        <v>378</v>
      </c>
      <c r="O101" s="2" t="s">
        <v>51</v>
      </c>
      <c r="P101" s="2" t="s">
        <v>51</v>
      </c>
      <c r="Q101" s="2" t="s">
        <v>223</v>
      </c>
      <c r="R101" s="2" t="s">
        <v>61</v>
      </c>
      <c r="S101" s="2" t="s">
        <v>61</v>
      </c>
      <c r="T101" s="2" t="s">
        <v>60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51</v>
      </c>
      <c r="AS101" s="2" t="s">
        <v>51</v>
      </c>
      <c r="AT101" s="3"/>
      <c r="AU101" s="2" t="s">
        <v>379</v>
      </c>
      <c r="AV101" s="3">
        <v>76</v>
      </c>
      <c r="AW101" t="str">
        <f t="shared" si="7"/>
        <v>일반단조관이음쇠 R/S , 나사식 , 50x40</v>
      </c>
    </row>
    <row r="102" spans="1:49" ht="30" hidden="1" customHeight="1" x14ac:dyDescent="0.3">
      <c r="A102" s="17" t="s">
        <v>380</v>
      </c>
      <c r="B102" s="17" t="s">
        <v>311</v>
      </c>
      <c r="C102" s="17" t="s">
        <v>187</v>
      </c>
      <c r="D102" s="41">
        <v>4</v>
      </c>
      <c r="E102" s="16">
        <f>TRUNC(단가대비표!O98,0)</f>
        <v>880</v>
      </c>
      <c r="F102" s="16">
        <f t="shared" si="8"/>
        <v>3520</v>
      </c>
      <c r="G102" s="16">
        <f>TRUNC(단가대비표!P98,0)</f>
        <v>0</v>
      </c>
      <c r="H102" s="16">
        <f t="shared" si="9"/>
        <v>0</v>
      </c>
      <c r="I102" s="16">
        <f>TRUNC(단가대비표!V98,0)</f>
        <v>0</v>
      </c>
      <c r="J102" s="16">
        <f t="shared" si="10"/>
        <v>0</v>
      </c>
      <c r="K102" s="16">
        <f t="shared" si="11"/>
        <v>880</v>
      </c>
      <c r="L102" s="16">
        <f t="shared" si="12"/>
        <v>3520</v>
      </c>
      <c r="M102" s="17" t="s">
        <v>381</v>
      </c>
      <c r="N102" s="2" t="s">
        <v>382</v>
      </c>
      <c r="O102" s="2" t="s">
        <v>51</v>
      </c>
      <c r="P102" s="2" t="s">
        <v>51</v>
      </c>
      <c r="Q102" s="2" t="s">
        <v>223</v>
      </c>
      <c r="R102" s="2" t="s">
        <v>61</v>
      </c>
      <c r="S102" s="2" t="s">
        <v>61</v>
      </c>
      <c r="T102" s="2" t="s">
        <v>60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 t="s">
        <v>51</v>
      </c>
      <c r="AS102" s="2" t="s">
        <v>51</v>
      </c>
      <c r="AT102" s="3"/>
      <c r="AU102" s="2" t="s">
        <v>383</v>
      </c>
      <c r="AV102" s="3">
        <v>77</v>
      </c>
      <c r="AW102" t="str">
        <f t="shared" si="7"/>
        <v>U볼트,너트 100A</v>
      </c>
    </row>
    <row r="103" spans="1:49" ht="30" hidden="1" customHeight="1" x14ac:dyDescent="0.3">
      <c r="A103" s="17" t="s">
        <v>380</v>
      </c>
      <c r="B103" s="17" t="s">
        <v>315</v>
      </c>
      <c r="C103" s="17" t="s">
        <v>187</v>
      </c>
      <c r="D103" s="41">
        <v>2</v>
      </c>
      <c r="E103" s="16">
        <f>TRUNC(단가대비표!O99,0)</f>
        <v>638</v>
      </c>
      <c r="F103" s="16">
        <f t="shared" si="8"/>
        <v>1276</v>
      </c>
      <c r="G103" s="16">
        <f>TRUNC(단가대비표!P99,0)</f>
        <v>0</v>
      </c>
      <c r="H103" s="16">
        <f t="shared" si="9"/>
        <v>0</v>
      </c>
      <c r="I103" s="16">
        <f>TRUNC(단가대비표!V99,0)</f>
        <v>0</v>
      </c>
      <c r="J103" s="16">
        <f t="shared" si="10"/>
        <v>0</v>
      </c>
      <c r="K103" s="16">
        <f t="shared" si="11"/>
        <v>638</v>
      </c>
      <c r="L103" s="16">
        <f t="shared" si="12"/>
        <v>1276</v>
      </c>
      <c r="M103" s="17" t="s">
        <v>384</v>
      </c>
      <c r="N103" s="2" t="s">
        <v>385</v>
      </c>
      <c r="O103" s="2" t="s">
        <v>51</v>
      </c>
      <c r="P103" s="2" t="s">
        <v>51</v>
      </c>
      <c r="Q103" s="2" t="s">
        <v>223</v>
      </c>
      <c r="R103" s="2" t="s">
        <v>61</v>
      </c>
      <c r="S103" s="2" t="s">
        <v>61</v>
      </c>
      <c r="T103" s="2" t="s">
        <v>60</v>
      </c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2" t="s">
        <v>51</v>
      </c>
      <c r="AS103" s="2" t="s">
        <v>51</v>
      </c>
      <c r="AT103" s="3"/>
      <c r="AU103" s="2" t="s">
        <v>386</v>
      </c>
      <c r="AV103" s="3">
        <v>78</v>
      </c>
      <c r="AW103" t="str">
        <f t="shared" si="7"/>
        <v>U볼트,너트 65A</v>
      </c>
    </row>
    <row r="104" spans="1:49" ht="30" hidden="1" customHeight="1" x14ac:dyDescent="0.3">
      <c r="A104" s="17" t="s">
        <v>380</v>
      </c>
      <c r="B104" s="17" t="s">
        <v>265</v>
      </c>
      <c r="C104" s="17" t="s">
        <v>187</v>
      </c>
      <c r="D104" s="41">
        <v>12</v>
      </c>
      <c r="E104" s="16">
        <f>TRUNC(단가대비표!O100,0)</f>
        <v>561</v>
      </c>
      <c r="F104" s="16">
        <f t="shared" si="8"/>
        <v>6732</v>
      </c>
      <c r="G104" s="16">
        <f>TRUNC(단가대비표!P100,0)</f>
        <v>0</v>
      </c>
      <c r="H104" s="16">
        <f t="shared" si="9"/>
        <v>0</v>
      </c>
      <c r="I104" s="16">
        <f>TRUNC(단가대비표!V100,0)</f>
        <v>0</v>
      </c>
      <c r="J104" s="16">
        <f t="shared" si="10"/>
        <v>0</v>
      </c>
      <c r="K104" s="16">
        <f t="shared" si="11"/>
        <v>561</v>
      </c>
      <c r="L104" s="16">
        <f t="shared" si="12"/>
        <v>6732</v>
      </c>
      <c r="M104" s="17" t="s">
        <v>387</v>
      </c>
      <c r="N104" s="2" t="s">
        <v>388</v>
      </c>
      <c r="O104" s="2" t="s">
        <v>51</v>
      </c>
      <c r="P104" s="2" t="s">
        <v>51</v>
      </c>
      <c r="Q104" s="2" t="s">
        <v>223</v>
      </c>
      <c r="R104" s="2" t="s">
        <v>61</v>
      </c>
      <c r="S104" s="2" t="s">
        <v>61</v>
      </c>
      <c r="T104" s="2" t="s">
        <v>60</v>
      </c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2" t="s">
        <v>51</v>
      </c>
      <c r="AS104" s="2" t="s">
        <v>51</v>
      </c>
      <c r="AT104" s="3"/>
      <c r="AU104" s="2" t="s">
        <v>389</v>
      </c>
      <c r="AV104" s="3">
        <v>79</v>
      </c>
      <c r="AW104" t="str">
        <f t="shared" si="7"/>
        <v>U볼트,너트 50A</v>
      </c>
    </row>
    <row r="105" spans="1:49" ht="30" hidden="1" customHeight="1" x14ac:dyDescent="0.3">
      <c r="A105" s="17" t="s">
        <v>380</v>
      </c>
      <c r="B105" s="17" t="s">
        <v>273</v>
      </c>
      <c r="C105" s="17" t="s">
        <v>187</v>
      </c>
      <c r="D105" s="41">
        <v>4</v>
      </c>
      <c r="E105" s="16">
        <f>TRUNC(단가대비표!O101,0)</f>
        <v>506</v>
      </c>
      <c r="F105" s="16">
        <f t="shared" si="8"/>
        <v>2024</v>
      </c>
      <c r="G105" s="16">
        <f>TRUNC(단가대비표!P101,0)</f>
        <v>0</v>
      </c>
      <c r="H105" s="16">
        <f t="shared" si="9"/>
        <v>0</v>
      </c>
      <c r="I105" s="16">
        <f>TRUNC(단가대비표!V101,0)</f>
        <v>0</v>
      </c>
      <c r="J105" s="16">
        <f t="shared" si="10"/>
        <v>0</v>
      </c>
      <c r="K105" s="16">
        <f t="shared" si="11"/>
        <v>506</v>
      </c>
      <c r="L105" s="16">
        <f t="shared" si="12"/>
        <v>2024</v>
      </c>
      <c r="M105" s="17" t="s">
        <v>390</v>
      </c>
      <c r="N105" s="2" t="s">
        <v>391</v>
      </c>
      <c r="O105" s="2" t="s">
        <v>51</v>
      </c>
      <c r="P105" s="2" t="s">
        <v>51</v>
      </c>
      <c r="Q105" s="2" t="s">
        <v>223</v>
      </c>
      <c r="R105" s="2" t="s">
        <v>61</v>
      </c>
      <c r="S105" s="2" t="s">
        <v>61</v>
      </c>
      <c r="T105" s="2" t="s">
        <v>60</v>
      </c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2" t="s">
        <v>51</v>
      </c>
      <c r="AS105" s="2" t="s">
        <v>51</v>
      </c>
      <c r="AT105" s="3"/>
      <c r="AU105" s="2" t="s">
        <v>392</v>
      </c>
      <c r="AV105" s="3">
        <v>80</v>
      </c>
      <c r="AW105" t="str">
        <f t="shared" si="7"/>
        <v>U볼트,너트 40A</v>
      </c>
    </row>
    <row r="106" spans="1:49" ht="30" hidden="1" customHeight="1" x14ac:dyDescent="0.3">
      <c r="A106" s="17" t="s">
        <v>393</v>
      </c>
      <c r="B106" s="17" t="s">
        <v>394</v>
      </c>
      <c r="C106" s="17" t="s">
        <v>93</v>
      </c>
      <c r="D106" s="41">
        <v>44</v>
      </c>
      <c r="E106" s="16">
        <f>TRUNC(단가대비표!O102,0)</f>
        <v>3740</v>
      </c>
      <c r="F106" s="16">
        <f t="shared" si="8"/>
        <v>164560</v>
      </c>
      <c r="G106" s="16">
        <f>TRUNC(단가대비표!P102,0)</f>
        <v>0</v>
      </c>
      <c r="H106" s="16">
        <f t="shared" si="9"/>
        <v>0</v>
      </c>
      <c r="I106" s="16">
        <f>TRUNC(단가대비표!V102,0)</f>
        <v>0</v>
      </c>
      <c r="J106" s="16">
        <f t="shared" si="10"/>
        <v>0</v>
      </c>
      <c r="K106" s="16">
        <f t="shared" si="11"/>
        <v>3740</v>
      </c>
      <c r="L106" s="16">
        <f t="shared" si="12"/>
        <v>164560</v>
      </c>
      <c r="M106" s="17" t="s">
        <v>395</v>
      </c>
      <c r="N106" s="2" t="s">
        <v>396</v>
      </c>
      <c r="O106" s="2" t="s">
        <v>51</v>
      </c>
      <c r="P106" s="2" t="s">
        <v>51</v>
      </c>
      <c r="Q106" s="2" t="s">
        <v>223</v>
      </c>
      <c r="R106" s="2" t="s">
        <v>61</v>
      </c>
      <c r="S106" s="2" t="s">
        <v>61</v>
      </c>
      <c r="T106" s="2" t="s">
        <v>60</v>
      </c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2" t="s">
        <v>51</v>
      </c>
      <c r="AS106" s="2" t="s">
        <v>51</v>
      </c>
      <c r="AT106" s="3"/>
      <c r="AU106" s="2" t="s">
        <v>397</v>
      </c>
      <c r="AV106" s="3">
        <v>81</v>
      </c>
      <c r="AW106" t="str">
        <f t="shared" si="7"/>
        <v>인서트플레이트 150x150x6T</v>
      </c>
    </row>
    <row r="107" spans="1:49" ht="30" hidden="1" customHeight="1" x14ac:dyDescent="0.3">
      <c r="A107" s="17" t="s">
        <v>398</v>
      </c>
      <c r="B107" s="17" t="s">
        <v>399</v>
      </c>
      <c r="C107" s="17" t="s">
        <v>187</v>
      </c>
      <c r="D107" s="41">
        <v>19</v>
      </c>
      <c r="E107" s="16">
        <f>TRUNC(단가대비표!O103,0)</f>
        <v>7125</v>
      </c>
      <c r="F107" s="16">
        <f t="shared" si="8"/>
        <v>135375</v>
      </c>
      <c r="G107" s="16">
        <f>TRUNC(단가대비표!P103,0)</f>
        <v>3565</v>
      </c>
      <c r="H107" s="16">
        <f t="shared" si="9"/>
        <v>67735</v>
      </c>
      <c r="I107" s="16">
        <f>TRUNC(단가대비표!V103,0)</f>
        <v>0</v>
      </c>
      <c r="J107" s="16">
        <f t="shared" si="10"/>
        <v>0</v>
      </c>
      <c r="K107" s="16">
        <f t="shared" si="11"/>
        <v>10690</v>
      </c>
      <c r="L107" s="16">
        <f t="shared" si="12"/>
        <v>203110</v>
      </c>
      <c r="M107" s="17" t="s">
        <v>400</v>
      </c>
      <c r="N107" s="2" t="s">
        <v>401</v>
      </c>
      <c r="O107" s="2" t="s">
        <v>51</v>
      </c>
      <c r="P107" s="2" t="s">
        <v>51</v>
      </c>
      <c r="Q107" s="2" t="s">
        <v>223</v>
      </c>
      <c r="R107" s="2" t="s">
        <v>61</v>
      </c>
      <c r="S107" s="2" t="s">
        <v>61</v>
      </c>
      <c r="T107" s="2" t="s">
        <v>60</v>
      </c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2" t="s">
        <v>51</v>
      </c>
      <c r="AS107" s="2" t="s">
        <v>51</v>
      </c>
      <c r="AT107" s="3"/>
      <c r="AU107" s="2" t="s">
        <v>402</v>
      </c>
      <c r="AV107" s="3">
        <v>82</v>
      </c>
      <c r="AW107" t="str">
        <f t="shared" si="7"/>
        <v>조합페인트 2 piece</v>
      </c>
    </row>
    <row r="108" spans="1:49" ht="30" hidden="1" customHeight="1" x14ac:dyDescent="0.3">
      <c r="A108" s="17" t="s">
        <v>403</v>
      </c>
      <c r="B108" s="17" t="s">
        <v>404</v>
      </c>
      <c r="C108" s="17" t="s">
        <v>74</v>
      </c>
      <c r="D108" s="41">
        <v>48</v>
      </c>
      <c r="E108" s="16">
        <f>TRUNC(단가대비표!O104,0)</f>
        <v>4828</v>
      </c>
      <c r="F108" s="16">
        <f t="shared" si="8"/>
        <v>231744</v>
      </c>
      <c r="G108" s="16">
        <f>TRUNC(단가대비표!P104,0)</f>
        <v>0</v>
      </c>
      <c r="H108" s="16">
        <f t="shared" si="9"/>
        <v>0</v>
      </c>
      <c r="I108" s="16">
        <f>TRUNC(단가대비표!V104,0)</f>
        <v>0</v>
      </c>
      <c r="J108" s="16">
        <f t="shared" si="10"/>
        <v>0</v>
      </c>
      <c r="K108" s="16">
        <f t="shared" si="11"/>
        <v>4828</v>
      </c>
      <c r="L108" s="16">
        <f t="shared" si="12"/>
        <v>231744</v>
      </c>
      <c r="M108" s="17" t="s">
        <v>405</v>
      </c>
      <c r="N108" s="2" t="s">
        <v>406</v>
      </c>
      <c r="O108" s="2" t="s">
        <v>51</v>
      </c>
      <c r="P108" s="2" t="s">
        <v>51</v>
      </c>
      <c r="Q108" s="2" t="s">
        <v>223</v>
      </c>
      <c r="R108" s="2" t="s">
        <v>61</v>
      </c>
      <c r="S108" s="2" t="s">
        <v>61</v>
      </c>
      <c r="T108" s="2" t="s">
        <v>60</v>
      </c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2" t="s">
        <v>51</v>
      </c>
      <c r="AS108" s="2" t="s">
        <v>51</v>
      </c>
      <c r="AT108" s="3"/>
      <c r="AU108" s="2" t="s">
        <v>407</v>
      </c>
      <c r="AV108" s="3">
        <v>83</v>
      </c>
      <c r="AW108" t="str">
        <f t="shared" si="7"/>
        <v>ㄱ형강 50x50x6T</v>
      </c>
    </row>
    <row r="109" spans="1:49" ht="30" hidden="1" customHeight="1" x14ac:dyDescent="0.3">
      <c r="A109" s="17" t="s">
        <v>408</v>
      </c>
      <c r="B109" s="17" t="s">
        <v>106</v>
      </c>
      <c r="C109" s="17" t="s">
        <v>409</v>
      </c>
      <c r="D109" s="41">
        <v>4.2799999999999998E-2</v>
      </c>
      <c r="E109" s="16">
        <f>TRUNC(단가대비표!O105,0)</f>
        <v>0</v>
      </c>
      <c r="F109" s="16">
        <f t="shared" si="8"/>
        <v>0</v>
      </c>
      <c r="G109" s="16">
        <f>TRUNC(단가대비표!P105,0)</f>
        <v>5404705</v>
      </c>
      <c r="H109" s="16">
        <f t="shared" si="9"/>
        <v>231321</v>
      </c>
      <c r="I109" s="16">
        <f>TRUNC(단가대비표!V105,0)</f>
        <v>0</v>
      </c>
      <c r="J109" s="16">
        <f t="shared" si="10"/>
        <v>0</v>
      </c>
      <c r="K109" s="16">
        <f t="shared" si="11"/>
        <v>5404705</v>
      </c>
      <c r="L109" s="16">
        <f t="shared" si="12"/>
        <v>231321</v>
      </c>
      <c r="M109" s="17" t="s">
        <v>410</v>
      </c>
      <c r="N109" s="2" t="s">
        <v>411</v>
      </c>
      <c r="O109" s="2" t="s">
        <v>51</v>
      </c>
      <c r="P109" s="2" t="s">
        <v>51</v>
      </c>
      <c r="Q109" s="2" t="s">
        <v>223</v>
      </c>
      <c r="R109" s="2" t="s">
        <v>61</v>
      </c>
      <c r="S109" s="2" t="s">
        <v>61</v>
      </c>
      <c r="T109" s="2" t="s">
        <v>60</v>
      </c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2" t="s">
        <v>51</v>
      </c>
      <c r="AS109" s="2" t="s">
        <v>51</v>
      </c>
      <c r="AT109" s="3"/>
      <c r="AU109" s="2" t="s">
        <v>412</v>
      </c>
      <c r="AV109" s="3">
        <v>84</v>
      </c>
      <c r="AW109" t="str">
        <f t="shared" si="7"/>
        <v>잡철물제작설치 간단</v>
      </c>
    </row>
    <row r="110" spans="1:49" ht="30" hidden="1" customHeight="1" x14ac:dyDescent="0.3">
      <c r="A110" s="17" t="s">
        <v>413</v>
      </c>
      <c r="B110" s="17" t="s">
        <v>414</v>
      </c>
      <c r="C110" s="17" t="s">
        <v>187</v>
      </c>
      <c r="D110" s="41">
        <v>36</v>
      </c>
      <c r="E110" s="16">
        <f>TRUNC(단가대비표!O106,0)</f>
        <v>4690</v>
      </c>
      <c r="F110" s="16">
        <f t="shared" si="8"/>
        <v>168840</v>
      </c>
      <c r="G110" s="16">
        <f>TRUNC(단가대비표!P106,0)</f>
        <v>22089</v>
      </c>
      <c r="H110" s="16">
        <f t="shared" si="9"/>
        <v>795204</v>
      </c>
      <c r="I110" s="16">
        <f>TRUNC(단가대비표!V106,0)</f>
        <v>0</v>
      </c>
      <c r="J110" s="16">
        <f t="shared" si="10"/>
        <v>0</v>
      </c>
      <c r="K110" s="16">
        <f t="shared" si="11"/>
        <v>26779</v>
      </c>
      <c r="L110" s="16">
        <f t="shared" si="12"/>
        <v>964044</v>
      </c>
      <c r="M110" s="17" t="s">
        <v>415</v>
      </c>
      <c r="N110" s="2" t="s">
        <v>416</v>
      </c>
      <c r="O110" s="2" t="s">
        <v>51</v>
      </c>
      <c r="P110" s="2" t="s">
        <v>51</v>
      </c>
      <c r="Q110" s="2" t="s">
        <v>223</v>
      </c>
      <c r="R110" s="2" t="s">
        <v>61</v>
      </c>
      <c r="S110" s="2" t="s">
        <v>61</v>
      </c>
      <c r="T110" s="2" t="s">
        <v>60</v>
      </c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2" t="s">
        <v>51</v>
      </c>
      <c r="AS110" s="2" t="s">
        <v>51</v>
      </c>
      <c r="AT110" s="3"/>
      <c r="AU110" s="2" t="s">
        <v>417</v>
      </c>
      <c r="AV110" s="3">
        <v>85</v>
      </c>
      <c r="AW110" t="str">
        <f t="shared" si="7"/>
        <v>내진앙카볼트 M12</v>
      </c>
    </row>
    <row r="111" spans="1:49" ht="30" hidden="1" customHeight="1" x14ac:dyDescent="0.3">
      <c r="A111" s="17" t="s">
        <v>418</v>
      </c>
      <c r="B111" s="17" t="s">
        <v>419</v>
      </c>
      <c r="C111" s="17" t="s">
        <v>187</v>
      </c>
      <c r="D111" s="41">
        <v>196</v>
      </c>
      <c r="E111" s="16">
        <f>TRUNC(단가대비표!O107,0)</f>
        <v>550</v>
      </c>
      <c r="F111" s="16">
        <f t="shared" si="8"/>
        <v>107800</v>
      </c>
      <c r="G111" s="16">
        <f>TRUNC(단가대비표!P107,0)</f>
        <v>22089</v>
      </c>
      <c r="H111" s="16">
        <f t="shared" si="9"/>
        <v>4329444</v>
      </c>
      <c r="I111" s="16">
        <f>TRUNC(단가대비표!V107,0)</f>
        <v>0</v>
      </c>
      <c r="J111" s="16">
        <f t="shared" si="10"/>
        <v>0</v>
      </c>
      <c r="K111" s="16">
        <f t="shared" si="11"/>
        <v>22639</v>
      </c>
      <c r="L111" s="16">
        <f t="shared" si="12"/>
        <v>4437244</v>
      </c>
      <c r="M111" s="17" t="s">
        <v>420</v>
      </c>
      <c r="N111" s="2" t="s">
        <v>421</v>
      </c>
      <c r="O111" s="2" t="s">
        <v>51</v>
      </c>
      <c r="P111" s="2" t="s">
        <v>51</v>
      </c>
      <c r="Q111" s="2" t="s">
        <v>223</v>
      </c>
      <c r="R111" s="2" t="s">
        <v>61</v>
      </c>
      <c r="S111" s="2" t="s">
        <v>61</v>
      </c>
      <c r="T111" s="2" t="s">
        <v>60</v>
      </c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2" t="s">
        <v>51</v>
      </c>
      <c r="AS111" s="2" t="s">
        <v>51</v>
      </c>
      <c r="AT111" s="3"/>
      <c r="AU111" s="2" t="s">
        <v>422</v>
      </c>
      <c r="AV111" s="3">
        <v>86</v>
      </c>
      <c r="AW111" t="str">
        <f t="shared" si="7"/>
        <v>셋트앙카볼트 	3/8×70(9×70)</v>
      </c>
    </row>
    <row r="112" spans="1:49" ht="30" hidden="1" customHeight="1" x14ac:dyDescent="0.3">
      <c r="A112" s="17" t="s">
        <v>423</v>
      </c>
      <c r="B112" s="17" t="s">
        <v>424</v>
      </c>
      <c r="C112" s="17" t="s">
        <v>93</v>
      </c>
      <c r="D112" s="41">
        <v>1</v>
      </c>
      <c r="E112" s="16">
        <f>TRUNC(단가대비표!O108,0)</f>
        <v>0</v>
      </c>
      <c r="F112" s="16">
        <f t="shared" si="8"/>
        <v>0</v>
      </c>
      <c r="G112" s="16">
        <f>TRUNC(단가대비표!P108,0)</f>
        <v>386044</v>
      </c>
      <c r="H112" s="16">
        <f t="shared" si="9"/>
        <v>386044</v>
      </c>
      <c r="I112" s="16">
        <f>TRUNC(단가대비표!V108,0)</f>
        <v>0</v>
      </c>
      <c r="J112" s="16">
        <f t="shared" si="10"/>
        <v>0</v>
      </c>
      <c r="K112" s="16">
        <f t="shared" si="11"/>
        <v>386044</v>
      </c>
      <c r="L112" s="16">
        <f t="shared" si="12"/>
        <v>386044</v>
      </c>
      <c r="M112" s="17" t="s">
        <v>425</v>
      </c>
      <c r="N112" s="2" t="s">
        <v>426</v>
      </c>
      <c r="O112" s="2" t="s">
        <v>51</v>
      </c>
      <c r="P112" s="2" t="s">
        <v>51</v>
      </c>
      <c r="Q112" s="2" t="s">
        <v>223</v>
      </c>
      <c r="R112" s="2" t="s">
        <v>61</v>
      </c>
      <c r="S112" s="2" t="s">
        <v>61</v>
      </c>
      <c r="T112" s="2" t="s">
        <v>60</v>
      </c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2" t="s">
        <v>51</v>
      </c>
      <c r="AS112" s="2" t="s">
        <v>51</v>
      </c>
      <c r="AT112" s="3"/>
      <c r="AU112" s="2" t="s">
        <v>427</v>
      </c>
      <c r="AV112" s="3">
        <v>87</v>
      </c>
      <c r="AW112" t="str">
        <f t="shared" si="7"/>
        <v>벽체타공(과압배출구설치) 600mm</v>
      </c>
    </row>
    <row r="113" spans="1:49" ht="30" hidden="1" customHeight="1" x14ac:dyDescent="0.3">
      <c r="A113" s="17" t="s">
        <v>423</v>
      </c>
      <c r="B113" s="17" t="s">
        <v>428</v>
      </c>
      <c r="C113" s="17" t="s">
        <v>93</v>
      </c>
      <c r="D113" s="41">
        <v>1</v>
      </c>
      <c r="E113" s="16">
        <f>TRUNC(단가대비표!O109,0)</f>
        <v>0</v>
      </c>
      <c r="F113" s="16">
        <f t="shared" si="8"/>
        <v>0</v>
      </c>
      <c r="G113" s="16">
        <f>TRUNC(단가대비표!P109,0)</f>
        <v>215392</v>
      </c>
      <c r="H113" s="16">
        <f t="shared" si="9"/>
        <v>215392</v>
      </c>
      <c r="I113" s="16">
        <f>TRUNC(단가대비표!V109,0)</f>
        <v>0</v>
      </c>
      <c r="J113" s="16">
        <f t="shared" si="10"/>
        <v>0</v>
      </c>
      <c r="K113" s="16">
        <f t="shared" si="11"/>
        <v>215392</v>
      </c>
      <c r="L113" s="16">
        <f t="shared" si="12"/>
        <v>215392</v>
      </c>
      <c r="M113" s="17" t="s">
        <v>429</v>
      </c>
      <c r="N113" s="2" t="s">
        <v>430</v>
      </c>
      <c r="O113" s="2" t="s">
        <v>51</v>
      </c>
      <c r="P113" s="2" t="s">
        <v>51</v>
      </c>
      <c r="Q113" s="2" t="s">
        <v>223</v>
      </c>
      <c r="R113" s="2" t="s">
        <v>61</v>
      </c>
      <c r="S113" s="2" t="s">
        <v>61</v>
      </c>
      <c r="T113" s="2" t="s">
        <v>60</v>
      </c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2" t="s">
        <v>51</v>
      </c>
      <c r="AS113" s="2" t="s">
        <v>51</v>
      </c>
      <c r="AT113" s="3"/>
      <c r="AU113" s="2" t="s">
        <v>431</v>
      </c>
      <c r="AV113" s="3">
        <v>88</v>
      </c>
      <c r="AW113" t="str">
        <f t="shared" si="7"/>
        <v>벽체타공(과압배출구설치) 400mm</v>
      </c>
    </row>
    <row r="114" spans="1:49" ht="30" hidden="1" customHeight="1" x14ac:dyDescent="0.3">
      <c r="A114" s="17" t="s">
        <v>423</v>
      </c>
      <c r="B114" s="17" t="s">
        <v>432</v>
      </c>
      <c r="C114" s="17" t="s">
        <v>93</v>
      </c>
      <c r="D114" s="41">
        <v>3</v>
      </c>
      <c r="E114" s="16">
        <f>TRUNC(단가대비표!O110,0)</f>
        <v>0</v>
      </c>
      <c r="F114" s="16">
        <f t="shared" si="8"/>
        <v>0</v>
      </c>
      <c r="G114" s="16">
        <f>TRUNC(단가대비표!P110,0)</f>
        <v>171838</v>
      </c>
      <c r="H114" s="16">
        <f t="shared" si="9"/>
        <v>515514</v>
      </c>
      <c r="I114" s="16">
        <f>TRUNC(단가대비표!V110,0)</f>
        <v>0</v>
      </c>
      <c r="J114" s="16">
        <f t="shared" si="10"/>
        <v>0</v>
      </c>
      <c r="K114" s="16">
        <f t="shared" si="11"/>
        <v>171838</v>
      </c>
      <c r="L114" s="16">
        <f t="shared" si="12"/>
        <v>515514</v>
      </c>
      <c r="M114" s="17" t="s">
        <v>433</v>
      </c>
      <c r="N114" s="2" t="s">
        <v>434</v>
      </c>
      <c r="O114" s="2" t="s">
        <v>51</v>
      </c>
      <c r="P114" s="2" t="s">
        <v>51</v>
      </c>
      <c r="Q114" s="2" t="s">
        <v>223</v>
      </c>
      <c r="R114" s="2" t="s">
        <v>61</v>
      </c>
      <c r="S114" s="2" t="s">
        <v>61</v>
      </c>
      <c r="T114" s="2" t="s">
        <v>60</v>
      </c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2" t="s">
        <v>51</v>
      </c>
      <c r="AS114" s="2" t="s">
        <v>51</v>
      </c>
      <c r="AT114" s="3"/>
      <c r="AU114" s="2" t="s">
        <v>435</v>
      </c>
      <c r="AV114" s="3">
        <v>89</v>
      </c>
      <c r="AW114" t="str">
        <f t="shared" si="7"/>
        <v>벽체타공(과압배출구설치) 300mm</v>
      </c>
    </row>
    <row r="115" spans="1:49" ht="30" hidden="1" customHeight="1" x14ac:dyDescent="0.3">
      <c r="A115" s="17" t="s">
        <v>423</v>
      </c>
      <c r="B115" s="17" t="s">
        <v>436</v>
      </c>
      <c r="C115" s="17" t="s">
        <v>93</v>
      </c>
      <c r="D115" s="41">
        <v>1</v>
      </c>
      <c r="E115" s="16">
        <f>TRUNC(단가대비표!O111,0)</f>
        <v>0</v>
      </c>
      <c r="F115" s="16">
        <f t="shared" si="8"/>
        <v>0</v>
      </c>
      <c r="G115" s="16">
        <f>TRUNC(단가대비표!P111,0)</f>
        <v>127493</v>
      </c>
      <c r="H115" s="16">
        <f t="shared" si="9"/>
        <v>127493</v>
      </c>
      <c r="I115" s="16">
        <f>TRUNC(단가대비표!V111,0)</f>
        <v>0</v>
      </c>
      <c r="J115" s="16">
        <f t="shared" si="10"/>
        <v>0</v>
      </c>
      <c r="K115" s="16">
        <f t="shared" si="11"/>
        <v>127493</v>
      </c>
      <c r="L115" s="16">
        <f t="shared" si="12"/>
        <v>127493</v>
      </c>
      <c r="M115" s="17" t="s">
        <v>437</v>
      </c>
      <c r="N115" s="2" t="s">
        <v>438</v>
      </c>
      <c r="O115" s="2" t="s">
        <v>51</v>
      </c>
      <c r="P115" s="2" t="s">
        <v>51</v>
      </c>
      <c r="Q115" s="2" t="s">
        <v>223</v>
      </c>
      <c r="R115" s="2" t="s">
        <v>61</v>
      </c>
      <c r="S115" s="2" t="s">
        <v>61</v>
      </c>
      <c r="T115" s="2" t="s">
        <v>60</v>
      </c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2" t="s">
        <v>51</v>
      </c>
      <c r="AS115" s="2" t="s">
        <v>51</v>
      </c>
      <c r="AT115" s="3"/>
      <c r="AU115" s="2" t="s">
        <v>439</v>
      </c>
      <c r="AV115" s="3">
        <v>90</v>
      </c>
      <c r="AW115" t="str">
        <f t="shared" si="7"/>
        <v>벽체타공(과압배출구설치) 200mm</v>
      </c>
    </row>
    <row r="116" spans="1:49" ht="30" hidden="1" customHeight="1" x14ac:dyDescent="0.3">
      <c r="A116" s="17" t="s">
        <v>440</v>
      </c>
      <c r="B116" s="17" t="s">
        <v>441</v>
      </c>
      <c r="C116" s="17" t="s">
        <v>442</v>
      </c>
      <c r="D116" s="41">
        <v>12</v>
      </c>
      <c r="E116" s="16">
        <f>TRUNC(단가대비표!O112,0)</f>
        <v>201017</v>
      </c>
      <c r="F116" s="16">
        <f t="shared" si="8"/>
        <v>2412204</v>
      </c>
      <c r="G116" s="16">
        <f>TRUNC(단가대비표!P112,0)</f>
        <v>0</v>
      </c>
      <c r="H116" s="16">
        <f t="shared" si="9"/>
        <v>0</v>
      </c>
      <c r="I116" s="16">
        <f>TRUNC(단가대비표!V112,0)</f>
        <v>0</v>
      </c>
      <c r="J116" s="16">
        <f t="shared" si="10"/>
        <v>0</v>
      </c>
      <c r="K116" s="16">
        <f t="shared" si="11"/>
        <v>201017</v>
      </c>
      <c r="L116" s="16">
        <f t="shared" si="12"/>
        <v>2412204</v>
      </c>
      <c r="M116" s="17" t="s">
        <v>443</v>
      </c>
      <c r="N116" s="2" t="s">
        <v>444</v>
      </c>
      <c r="O116" s="2" t="s">
        <v>51</v>
      </c>
      <c r="P116" s="2" t="s">
        <v>51</v>
      </c>
      <c r="Q116" s="2" t="s">
        <v>223</v>
      </c>
      <c r="R116" s="2" t="s">
        <v>61</v>
      </c>
      <c r="S116" s="2" t="s">
        <v>61</v>
      </c>
      <c r="T116" s="2" t="s">
        <v>60</v>
      </c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2" t="s">
        <v>51</v>
      </c>
      <c r="AS116" s="2" t="s">
        <v>51</v>
      </c>
      <c r="AT116" s="3"/>
      <c r="AU116" s="2" t="s">
        <v>445</v>
      </c>
      <c r="AV116" s="3">
        <v>91</v>
      </c>
      <c r="AW116" t="str">
        <f t="shared" si="7"/>
        <v>제품검사비(설계심사) 1구역</v>
      </c>
    </row>
    <row r="117" spans="1:49" ht="30" hidden="1" customHeight="1" x14ac:dyDescent="0.3">
      <c r="A117" s="17" t="s">
        <v>446</v>
      </c>
      <c r="B117" s="17" t="s">
        <v>447</v>
      </c>
      <c r="C117" s="17" t="s">
        <v>448</v>
      </c>
      <c r="D117" s="41">
        <v>26620</v>
      </c>
      <c r="E117" s="16">
        <f>TRUNC(단가대비표!O113,0)</f>
        <v>25</v>
      </c>
      <c r="F117" s="16">
        <f t="shared" si="8"/>
        <v>665500</v>
      </c>
      <c r="G117" s="16">
        <f>TRUNC(단가대비표!P113,0)</f>
        <v>443</v>
      </c>
      <c r="H117" s="16">
        <f t="shared" si="9"/>
        <v>11792660</v>
      </c>
      <c r="I117" s="16">
        <f>TRUNC(단가대비표!V113,0)</f>
        <v>0</v>
      </c>
      <c r="J117" s="16">
        <f t="shared" si="10"/>
        <v>0</v>
      </c>
      <c r="K117" s="16">
        <f t="shared" si="11"/>
        <v>468</v>
      </c>
      <c r="L117" s="16">
        <f t="shared" si="12"/>
        <v>12458160</v>
      </c>
      <c r="M117" s="17" t="s">
        <v>449</v>
      </c>
      <c r="N117" s="2" t="s">
        <v>450</v>
      </c>
      <c r="O117" s="2" t="s">
        <v>51</v>
      </c>
      <c r="P117" s="2" t="s">
        <v>51</v>
      </c>
      <c r="Q117" s="2" t="s">
        <v>223</v>
      </c>
      <c r="R117" s="2" t="s">
        <v>61</v>
      </c>
      <c r="S117" s="2" t="s">
        <v>61</v>
      </c>
      <c r="T117" s="2" t="s">
        <v>60</v>
      </c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2" t="s">
        <v>51</v>
      </c>
      <c r="AS117" s="2" t="s">
        <v>51</v>
      </c>
      <c r="AT117" s="3"/>
      <c r="AU117" s="2" t="s">
        <v>451</v>
      </c>
      <c r="AV117" s="3">
        <v>92</v>
      </c>
      <c r="AW117" t="str">
        <f t="shared" si="7"/>
        <v>피스톤릴리즈댐퍼 (STL)특수각형댐퍼,상대익형날개</v>
      </c>
    </row>
    <row r="118" spans="1:49" ht="30" hidden="1" customHeight="1" x14ac:dyDescent="0.3">
      <c r="A118" s="17" t="s">
        <v>452</v>
      </c>
      <c r="B118" s="17" t="s">
        <v>453</v>
      </c>
      <c r="C118" s="17" t="s">
        <v>132</v>
      </c>
      <c r="D118" s="41">
        <v>7</v>
      </c>
      <c r="E118" s="16">
        <f>TRUNC(단가대비표!O114,0)</f>
        <v>120000</v>
      </c>
      <c r="F118" s="16">
        <f t="shared" si="8"/>
        <v>840000</v>
      </c>
      <c r="G118" s="16">
        <f>TRUNC(단가대비표!P114,0)</f>
        <v>0</v>
      </c>
      <c r="H118" s="16">
        <f t="shared" si="9"/>
        <v>0</v>
      </c>
      <c r="I118" s="16">
        <f>TRUNC(단가대비표!V114,0)</f>
        <v>0</v>
      </c>
      <c r="J118" s="16">
        <f t="shared" si="10"/>
        <v>0</v>
      </c>
      <c r="K118" s="16">
        <f t="shared" si="11"/>
        <v>120000</v>
      </c>
      <c r="L118" s="16">
        <f t="shared" si="12"/>
        <v>840000</v>
      </c>
      <c r="M118" s="17" t="s">
        <v>454</v>
      </c>
      <c r="N118" s="2" t="s">
        <v>455</v>
      </c>
      <c r="O118" s="2" t="s">
        <v>51</v>
      </c>
      <c r="P118" s="2" t="s">
        <v>51</v>
      </c>
      <c r="Q118" s="2" t="s">
        <v>223</v>
      </c>
      <c r="R118" s="2" t="s">
        <v>61</v>
      </c>
      <c r="S118" s="2" t="s">
        <v>61</v>
      </c>
      <c r="T118" s="2" t="s">
        <v>60</v>
      </c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2" t="s">
        <v>51</v>
      </c>
      <c r="AS118" s="2" t="s">
        <v>51</v>
      </c>
      <c r="AT118" s="3"/>
      <c r="AU118" s="2" t="s">
        <v>456</v>
      </c>
      <c r="AV118" s="3">
        <v>93</v>
      </c>
      <c r="AW118" t="str">
        <f t="shared" si="7"/>
        <v>피스톤릴리즈 일반피스톤</v>
      </c>
    </row>
    <row r="119" spans="1:49" ht="30" hidden="1" customHeight="1" x14ac:dyDescent="0.3">
      <c r="A119" s="17" t="s">
        <v>457</v>
      </c>
      <c r="B119" s="17" t="s">
        <v>251</v>
      </c>
      <c r="C119" s="17" t="s">
        <v>57</v>
      </c>
      <c r="D119" s="41">
        <v>71</v>
      </c>
      <c r="E119" s="16">
        <f>TRUNC(단가대비표!O115,0)</f>
        <v>6000</v>
      </c>
      <c r="F119" s="16">
        <f t="shared" si="8"/>
        <v>426000</v>
      </c>
      <c r="G119" s="16">
        <f>TRUNC(단가대비표!P115,0)</f>
        <v>4008</v>
      </c>
      <c r="H119" s="16">
        <f t="shared" si="9"/>
        <v>284568</v>
      </c>
      <c r="I119" s="16">
        <f>TRUNC(단가대비표!V115,0)</f>
        <v>0</v>
      </c>
      <c r="J119" s="16">
        <f t="shared" si="10"/>
        <v>0</v>
      </c>
      <c r="K119" s="16">
        <f t="shared" si="11"/>
        <v>10008</v>
      </c>
      <c r="L119" s="16">
        <f t="shared" si="12"/>
        <v>710568</v>
      </c>
      <c r="M119" s="17" t="s">
        <v>458</v>
      </c>
      <c r="N119" s="2" t="s">
        <v>459</v>
      </c>
      <c r="O119" s="2" t="s">
        <v>51</v>
      </c>
      <c r="P119" s="2" t="s">
        <v>51</v>
      </c>
      <c r="Q119" s="2" t="s">
        <v>223</v>
      </c>
      <c r="R119" s="2" t="s">
        <v>61</v>
      </c>
      <c r="S119" s="2" t="s">
        <v>61</v>
      </c>
      <c r="T119" s="2" t="s">
        <v>60</v>
      </c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2" t="s">
        <v>51</v>
      </c>
      <c r="AS119" s="2" t="s">
        <v>51</v>
      </c>
      <c r="AT119" s="3"/>
      <c r="AU119" s="2" t="s">
        <v>460</v>
      </c>
      <c r="AV119" s="3">
        <v>94</v>
      </c>
      <c r="AW119" t="str">
        <f t="shared" si="7"/>
        <v>동관 6A</v>
      </c>
    </row>
    <row r="120" spans="1:49" ht="30" hidden="1" customHeight="1" x14ac:dyDescent="0.3">
      <c r="A120" s="17" t="s">
        <v>461</v>
      </c>
      <c r="B120" s="17" t="s">
        <v>251</v>
      </c>
      <c r="C120" s="17" t="s">
        <v>187</v>
      </c>
      <c r="D120" s="41">
        <v>4</v>
      </c>
      <c r="E120" s="16">
        <f>TRUNC(단가대비표!O116,0)</f>
        <v>25000</v>
      </c>
      <c r="F120" s="16">
        <f t="shared" si="8"/>
        <v>100000</v>
      </c>
      <c r="G120" s="16">
        <f>TRUNC(단가대비표!P116,0)</f>
        <v>24907</v>
      </c>
      <c r="H120" s="16">
        <f t="shared" si="9"/>
        <v>99628</v>
      </c>
      <c r="I120" s="16">
        <f>TRUNC(단가대비표!V116,0)</f>
        <v>0</v>
      </c>
      <c r="J120" s="16">
        <f t="shared" si="10"/>
        <v>0</v>
      </c>
      <c r="K120" s="16">
        <f t="shared" si="11"/>
        <v>49907</v>
      </c>
      <c r="L120" s="16">
        <f t="shared" si="12"/>
        <v>199628</v>
      </c>
      <c r="M120" s="17" t="s">
        <v>462</v>
      </c>
      <c r="N120" s="2" t="s">
        <v>463</v>
      </c>
      <c r="O120" s="2" t="s">
        <v>51</v>
      </c>
      <c r="P120" s="2" t="s">
        <v>51</v>
      </c>
      <c r="Q120" s="2" t="s">
        <v>223</v>
      </c>
      <c r="R120" s="2" t="s">
        <v>61</v>
      </c>
      <c r="S120" s="2" t="s">
        <v>61</v>
      </c>
      <c r="T120" s="2" t="s">
        <v>60</v>
      </c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2" t="s">
        <v>51</v>
      </c>
      <c r="AS120" s="2" t="s">
        <v>51</v>
      </c>
      <c r="AT120" s="3"/>
      <c r="AU120" s="2" t="s">
        <v>464</v>
      </c>
      <c r="AV120" s="3">
        <v>95</v>
      </c>
      <c r="AW120" t="str">
        <f t="shared" si="7"/>
        <v>동체크밸브 6A</v>
      </c>
    </row>
    <row r="121" spans="1:49" ht="30" hidden="1" customHeight="1" x14ac:dyDescent="0.3">
      <c r="A121" s="17" t="s">
        <v>465</v>
      </c>
      <c r="B121" s="17" t="s">
        <v>251</v>
      </c>
      <c r="C121" s="17" t="s">
        <v>187</v>
      </c>
      <c r="D121" s="41">
        <v>6</v>
      </c>
      <c r="E121" s="16">
        <f>TRUNC(단가대비표!O117,0)</f>
        <v>6000</v>
      </c>
      <c r="F121" s="16">
        <f t="shared" si="8"/>
        <v>36000</v>
      </c>
      <c r="G121" s="16">
        <f>TRUNC(단가대비표!P117,0)</f>
        <v>0</v>
      </c>
      <c r="H121" s="16">
        <f t="shared" si="9"/>
        <v>0</v>
      </c>
      <c r="I121" s="16">
        <f>TRUNC(단가대비표!V117,0)</f>
        <v>0</v>
      </c>
      <c r="J121" s="16">
        <f t="shared" si="10"/>
        <v>0</v>
      </c>
      <c r="K121" s="16">
        <f t="shared" si="11"/>
        <v>6000</v>
      </c>
      <c r="L121" s="16">
        <f t="shared" si="12"/>
        <v>36000</v>
      </c>
      <c r="M121" s="17" t="s">
        <v>466</v>
      </c>
      <c r="N121" s="2" t="s">
        <v>467</v>
      </c>
      <c r="O121" s="2" t="s">
        <v>51</v>
      </c>
      <c r="P121" s="2" t="s">
        <v>51</v>
      </c>
      <c r="Q121" s="2" t="s">
        <v>223</v>
      </c>
      <c r="R121" s="2" t="s">
        <v>61</v>
      </c>
      <c r="S121" s="2" t="s">
        <v>61</v>
      </c>
      <c r="T121" s="2" t="s">
        <v>60</v>
      </c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2" t="s">
        <v>51</v>
      </c>
      <c r="AS121" s="2" t="s">
        <v>51</v>
      </c>
      <c r="AT121" s="3"/>
      <c r="AU121" s="2" t="s">
        <v>468</v>
      </c>
      <c r="AV121" s="3">
        <v>96</v>
      </c>
      <c r="AW121" t="str">
        <f t="shared" si="7"/>
        <v>동티 6A</v>
      </c>
    </row>
    <row r="122" spans="1:49" ht="30" hidden="1" customHeight="1" x14ac:dyDescent="0.3">
      <c r="A122" s="17" t="s">
        <v>469</v>
      </c>
      <c r="B122" s="17" t="s">
        <v>251</v>
      </c>
      <c r="C122" s="17" t="s">
        <v>187</v>
      </c>
      <c r="D122" s="41">
        <v>6</v>
      </c>
      <c r="E122" s="16">
        <f>TRUNC(단가대비표!O118,0)</f>
        <v>540</v>
      </c>
      <c r="F122" s="16">
        <f t="shared" si="8"/>
        <v>3240</v>
      </c>
      <c r="G122" s="16">
        <f>TRUNC(단가대비표!P118,0)</f>
        <v>0</v>
      </c>
      <c r="H122" s="16">
        <f t="shared" si="9"/>
        <v>0</v>
      </c>
      <c r="I122" s="16">
        <f>TRUNC(단가대비표!V118,0)</f>
        <v>0</v>
      </c>
      <c r="J122" s="16">
        <f t="shared" si="10"/>
        <v>0</v>
      </c>
      <c r="K122" s="16">
        <f t="shared" si="11"/>
        <v>540</v>
      </c>
      <c r="L122" s="16">
        <f t="shared" si="12"/>
        <v>3240</v>
      </c>
      <c r="M122" s="17" t="s">
        <v>470</v>
      </c>
      <c r="N122" s="2" t="s">
        <v>471</v>
      </c>
      <c r="O122" s="2" t="s">
        <v>51</v>
      </c>
      <c r="P122" s="2" t="s">
        <v>51</v>
      </c>
      <c r="Q122" s="2" t="s">
        <v>223</v>
      </c>
      <c r="R122" s="2" t="s">
        <v>61</v>
      </c>
      <c r="S122" s="2" t="s">
        <v>61</v>
      </c>
      <c r="T122" s="2" t="s">
        <v>60</v>
      </c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2" t="s">
        <v>51</v>
      </c>
      <c r="AS122" s="2" t="s">
        <v>51</v>
      </c>
      <c r="AT122" s="3"/>
      <c r="AU122" s="2" t="s">
        <v>472</v>
      </c>
      <c r="AV122" s="3">
        <v>97</v>
      </c>
      <c r="AW122" t="str">
        <f t="shared" si="7"/>
        <v>동소켓 6A</v>
      </c>
    </row>
    <row r="123" spans="1:49" ht="30" hidden="1" customHeight="1" x14ac:dyDescent="0.3">
      <c r="A123" s="17" t="s">
        <v>473</v>
      </c>
      <c r="B123" s="17" t="s">
        <v>474</v>
      </c>
      <c r="C123" s="17" t="s">
        <v>187</v>
      </c>
      <c r="D123" s="41">
        <v>4</v>
      </c>
      <c r="E123" s="16">
        <f>TRUNC(단가대비표!O119,0)</f>
        <v>2610</v>
      </c>
      <c r="F123" s="16">
        <f t="shared" si="8"/>
        <v>10440</v>
      </c>
      <c r="G123" s="16">
        <f>TRUNC(단가대비표!P119,0)</f>
        <v>0</v>
      </c>
      <c r="H123" s="16">
        <f t="shared" si="9"/>
        <v>0</v>
      </c>
      <c r="I123" s="16">
        <f>TRUNC(단가대비표!V119,0)</f>
        <v>0</v>
      </c>
      <c r="J123" s="16">
        <f t="shared" si="10"/>
        <v>0</v>
      </c>
      <c r="K123" s="16">
        <f t="shared" si="11"/>
        <v>2610</v>
      </c>
      <c r="L123" s="16">
        <f t="shared" si="12"/>
        <v>10440</v>
      </c>
      <c r="M123" s="17" t="s">
        <v>475</v>
      </c>
      <c r="N123" s="2" t="s">
        <v>476</v>
      </c>
      <c r="O123" s="2" t="s">
        <v>51</v>
      </c>
      <c r="P123" s="2" t="s">
        <v>51</v>
      </c>
      <c r="Q123" s="2" t="s">
        <v>223</v>
      </c>
      <c r="R123" s="2" t="s">
        <v>61</v>
      </c>
      <c r="S123" s="2" t="s">
        <v>61</v>
      </c>
      <c r="T123" s="2" t="s">
        <v>60</v>
      </c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2" t="s">
        <v>51</v>
      </c>
      <c r="AS123" s="2" t="s">
        <v>51</v>
      </c>
      <c r="AT123" s="3"/>
      <c r="AU123" s="2" t="s">
        <v>477</v>
      </c>
      <c r="AV123" s="3">
        <v>98</v>
      </c>
      <c r="AW123" t="str">
        <f t="shared" si="7"/>
        <v>단조소켓 15A</v>
      </c>
    </row>
    <row r="124" spans="1:49" ht="30" hidden="1" customHeight="1" x14ac:dyDescent="0.3">
      <c r="A124" s="17" t="s">
        <v>478</v>
      </c>
      <c r="B124" s="17" t="s">
        <v>479</v>
      </c>
      <c r="C124" s="17" t="s">
        <v>187</v>
      </c>
      <c r="D124" s="41">
        <v>4</v>
      </c>
      <c r="E124" s="16">
        <f>TRUNC(단가대비표!O120,0)</f>
        <v>710</v>
      </c>
      <c r="F124" s="16">
        <f t="shared" si="8"/>
        <v>2840</v>
      </c>
      <c r="G124" s="16">
        <f>TRUNC(단가대비표!P120,0)</f>
        <v>0</v>
      </c>
      <c r="H124" s="16">
        <f t="shared" si="9"/>
        <v>0</v>
      </c>
      <c r="I124" s="16">
        <f>TRUNC(단가대비표!V120,0)</f>
        <v>0</v>
      </c>
      <c r="J124" s="16">
        <f t="shared" si="10"/>
        <v>0</v>
      </c>
      <c r="K124" s="16">
        <f t="shared" si="11"/>
        <v>710</v>
      </c>
      <c r="L124" s="16">
        <f t="shared" si="12"/>
        <v>2840</v>
      </c>
      <c r="M124" s="17" t="s">
        <v>480</v>
      </c>
      <c r="N124" s="2" t="s">
        <v>481</v>
      </c>
      <c r="O124" s="2" t="s">
        <v>51</v>
      </c>
      <c r="P124" s="2" t="s">
        <v>51</v>
      </c>
      <c r="Q124" s="2" t="s">
        <v>223</v>
      </c>
      <c r="R124" s="2" t="s">
        <v>61</v>
      </c>
      <c r="S124" s="2" t="s">
        <v>61</v>
      </c>
      <c r="T124" s="2" t="s">
        <v>60</v>
      </c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2" t="s">
        <v>51</v>
      </c>
      <c r="AS124" s="2" t="s">
        <v>51</v>
      </c>
      <c r="AT124" s="3"/>
      <c r="AU124" s="2" t="s">
        <v>482</v>
      </c>
      <c r="AV124" s="3">
        <v>99</v>
      </c>
      <c r="AW124" t="str">
        <f t="shared" si="7"/>
        <v>동어댑터 15A x 6A</v>
      </c>
    </row>
    <row r="125" spans="1:49" ht="30" hidden="1" customHeight="1" x14ac:dyDescent="0.3">
      <c r="A125" s="17" t="s">
        <v>483</v>
      </c>
      <c r="B125" s="17" t="s">
        <v>484</v>
      </c>
      <c r="C125" s="17" t="s">
        <v>187</v>
      </c>
      <c r="D125" s="41">
        <v>4</v>
      </c>
      <c r="E125" s="16">
        <f>TRUNC(단가대비표!O121,0)</f>
        <v>25000</v>
      </c>
      <c r="F125" s="16">
        <f t="shared" si="8"/>
        <v>100000</v>
      </c>
      <c r="G125" s="16">
        <f>TRUNC(단가대비표!P121,0)</f>
        <v>102119</v>
      </c>
      <c r="H125" s="16">
        <f t="shared" si="9"/>
        <v>408476</v>
      </c>
      <c r="I125" s="16">
        <f>TRUNC(단가대비표!V121,0)</f>
        <v>0</v>
      </c>
      <c r="J125" s="16">
        <f t="shared" si="10"/>
        <v>0</v>
      </c>
      <c r="K125" s="16">
        <f t="shared" si="11"/>
        <v>127119</v>
      </c>
      <c r="L125" s="16">
        <f t="shared" si="12"/>
        <v>508476</v>
      </c>
      <c r="M125" s="17" t="s">
        <v>485</v>
      </c>
      <c r="N125" s="2" t="s">
        <v>486</v>
      </c>
      <c r="O125" s="2" t="s">
        <v>51</v>
      </c>
      <c r="P125" s="2" t="s">
        <v>51</v>
      </c>
      <c r="Q125" s="2" t="s">
        <v>223</v>
      </c>
      <c r="R125" s="2" t="s">
        <v>61</v>
      </c>
      <c r="S125" s="2" t="s">
        <v>61</v>
      </c>
      <c r="T125" s="2" t="s">
        <v>60</v>
      </c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 t="s">
        <v>51</v>
      </c>
      <c r="AS125" s="2" t="s">
        <v>51</v>
      </c>
      <c r="AT125" s="3"/>
      <c r="AU125" s="2" t="s">
        <v>487</v>
      </c>
      <c r="AV125" s="3">
        <v>100</v>
      </c>
      <c r="AW125" t="str">
        <f t="shared" si="7"/>
        <v>수동복구함 가스압식</v>
      </c>
    </row>
    <row r="126" spans="1:49" ht="30" hidden="1" customHeight="1" x14ac:dyDescent="0.3">
      <c r="A126" s="17" t="s">
        <v>488</v>
      </c>
      <c r="B126" s="17" t="s">
        <v>489</v>
      </c>
      <c r="C126" s="17" t="s">
        <v>74</v>
      </c>
      <c r="D126" s="41">
        <v>16</v>
      </c>
      <c r="E126" s="16">
        <f>TRUNC(단가대비표!O122,0)</f>
        <v>3370</v>
      </c>
      <c r="F126" s="16">
        <f t="shared" si="8"/>
        <v>53920</v>
      </c>
      <c r="G126" s="16">
        <f>TRUNC(단가대비표!P122,0)</f>
        <v>22088</v>
      </c>
      <c r="H126" s="16">
        <f t="shared" si="9"/>
        <v>353408</v>
      </c>
      <c r="I126" s="16">
        <f>TRUNC(단가대비표!V122,0)</f>
        <v>0</v>
      </c>
      <c r="J126" s="16">
        <f t="shared" si="10"/>
        <v>0</v>
      </c>
      <c r="K126" s="16">
        <f t="shared" si="11"/>
        <v>25458</v>
      </c>
      <c r="L126" s="16">
        <f t="shared" si="12"/>
        <v>407328</v>
      </c>
      <c r="M126" s="17" t="s">
        <v>490</v>
      </c>
      <c r="N126" s="2" t="s">
        <v>491</v>
      </c>
      <c r="O126" s="2" t="s">
        <v>51</v>
      </c>
      <c r="P126" s="2" t="s">
        <v>51</v>
      </c>
      <c r="Q126" s="2" t="s">
        <v>223</v>
      </c>
      <c r="R126" s="2" t="s">
        <v>61</v>
      </c>
      <c r="S126" s="2" t="s">
        <v>61</v>
      </c>
      <c r="T126" s="2" t="s">
        <v>60</v>
      </c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2" t="s">
        <v>51</v>
      </c>
      <c r="AS126" s="2" t="s">
        <v>51</v>
      </c>
      <c r="AT126" s="3"/>
      <c r="AU126" s="2" t="s">
        <v>492</v>
      </c>
      <c r="AV126" s="3">
        <v>101</v>
      </c>
      <c r="AW126" t="str">
        <f t="shared" si="7"/>
        <v>스틸전선관 16C</v>
      </c>
    </row>
    <row r="127" spans="1:49" ht="30" hidden="1" customHeight="1" x14ac:dyDescent="0.3">
      <c r="A127" s="17" t="s">
        <v>493</v>
      </c>
      <c r="B127" s="17" t="s">
        <v>489</v>
      </c>
      <c r="C127" s="17" t="s">
        <v>187</v>
      </c>
      <c r="D127" s="41">
        <v>8</v>
      </c>
      <c r="E127" s="16">
        <f>TRUNC(단가대비표!O123,0)</f>
        <v>161</v>
      </c>
      <c r="F127" s="16">
        <f t="shared" si="8"/>
        <v>1288</v>
      </c>
      <c r="G127" s="16">
        <f>TRUNC(단가대비표!P123,0)</f>
        <v>0</v>
      </c>
      <c r="H127" s="16">
        <f t="shared" si="9"/>
        <v>0</v>
      </c>
      <c r="I127" s="16">
        <f>TRUNC(단가대비표!V123,0)</f>
        <v>0</v>
      </c>
      <c r="J127" s="16">
        <f t="shared" si="10"/>
        <v>0</v>
      </c>
      <c r="K127" s="16">
        <f t="shared" si="11"/>
        <v>161</v>
      </c>
      <c r="L127" s="16">
        <f t="shared" si="12"/>
        <v>1288</v>
      </c>
      <c r="M127" s="17" t="s">
        <v>494</v>
      </c>
      <c r="N127" s="2" t="s">
        <v>495</v>
      </c>
      <c r="O127" s="2" t="s">
        <v>51</v>
      </c>
      <c r="P127" s="2" t="s">
        <v>51</v>
      </c>
      <c r="Q127" s="2" t="s">
        <v>223</v>
      </c>
      <c r="R127" s="2" t="s">
        <v>61</v>
      </c>
      <c r="S127" s="2" t="s">
        <v>61</v>
      </c>
      <c r="T127" s="2" t="s">
        <v>60</v>
      </c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2" t="s">
        <v>51</v>
      </c>
      <c r="AS127" s="2" t="s">
        <v>51</v>
      </c>
      <c r="AT127" s="3"/>
      <c r="AU127" s="2" t="s">
        <v>496</v>
      </c>
      <c r="AV127" s="3">
        <v>102</v>
      </c>
      <c r="AW127" t="str">
        <f t="shared" si="7"/>
        <v>양새들 16C</v>
      </c>
    </row>
    <row r="128" spans="1:49" ht="30" hidden="1" customHeight="1" x14ac:dyDescent="0.3">
      <c r="A128" s="17" t="s">
        <v>497</v>
      </c>
      <c r="B128" s="17" t="s">
        <v>489</v>
      </c>
      <c r="C128" s="17" t="s">
        <v>187</v>
      </c>
      <c r="D128" s="41">
        <v>4</v>
      </c>
      <c r="E128" s="16">
        <f>TRUNC(단가대비표!O124,0)</f>
        <v>98</v>
      </c>
      <c r="F128" s="16">
        <f t="shared" si="8"/>
        <v>392</v>
      </c>
      <c r="G128" s="16">
        <f>TRUNC(단가대비표!P124,0)</f>
        <v>0</v>
      </c>
      <c r="H128" s="16">
        <f t="shared" si="9"/>
        <v>0</v>
      </c>
      <c r="I128" s="16">
        <f>TRUNC(단가대비표!V124,0)</f>
        <v>0</v>
      </c>
      <c r="J128" s="16">
        <f t="shared" si="10"/>
        <v>0</v>
      </c>
      <c r="K128" s="16">
        <f t="shared" si="11"/>
        <v>98</v>
      </c>
      <c r="L128" s="16">
        <f t="shared" si="12"/>
        <v>392</v>
      </c>
      <c r="M128" s="17" t="s">
        <v>498</v>
      </c>
      <c r="N128" s="2" t="s">
        <v>499</v>
      </c>
      <c r="O128" s="2" t="s">
        <v>51</v>
      </c>
      <c r="P128" s="2" t="s">
        <v>51</v>
      </c>
      <c r="Q128" s="2" t="s">
        <v>223</v>
      </c>
      <c r="R128" s="2" t="s">
        <v>61</v>
      </c>
      <c r="S128" s="2" t="s">
        <v>61</v>
      </c>
      <c r="T128" s="2" t="s">
        <v>60</v>
      </c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2" t="s">
        <v>51</v>
      </c>
      <c r="AS128" s="2" t="s">
        <v>51</v>
      </c>
      <c r="AT128" s="3"/>
      <c r="AU128" s="2" t="s">
        <v>500</v>
      </c>
      <c r="AV128" s="3">
        <v>103</v>
      </c>
      <c r="AW128" t="str">
        <f t="shared" si="7"/>
        <v>로크너트 16C</v>
      </c>
    </row>
    <row r="129" spans="1:49" ht="30" hidden="1" customHeight="1" x14ac:dyDescent="0.3">
      <c r="A129" s="17" t="s">
        <v>501</v>
      </c>
      <c r="B129" s="17" t="s">
        <v>502</v>
      </c>
      <c r="C129" s="17" t="s">
        <v>503</v>
      </c>
      <c r="D129" s="41">
        <v>1</v>
      </c>
      <c r="E129" s="16">
        <f>TRUNC(단가대비표!O125,0)</f>
        <v>33852</v>
      </c>
      <c r="F129" s="16">
        <f t="shared" ref="F129:F135" si="13">TRUNC(E129*D129, 0)</f>
        <v>33852</v>
      </c>
      <c r="G129" s="16">
        <f>TRUNC(단가대비표!P125,0)</f>
        <v>0</v>
      </c>
      <c r="H129" s="16">
        <f t="shared" ref="H129:H135" si="14">TRUNC(G129*D129, 0)</f>
        <v>0</v>
      </c>
      <c r="I129" s="16">
        <f>TRUNC(단가대비표!V125,0)</f>
        <v>0</v>
      </c>
      <c r="J129" s="16">
        <f t="shared" ref="J129:J135" si="15">TRUNC(I129*D129, 0)</f>
        <v>0</v>
      </c>
      <c r="K129" s="16">
        <f t="shared" ref="K129:K135" si="16">TRUNC(E129+G129+I129, 0)</f>
        <v>33852</v>
      </c>
      <c r="L129" s="16">
        <f t="shared" ref="L129:L135" si="17">TRUNC(F129+H129+J129, 0)</f>
        <v>33852</v>
      </c>
      <c r="M129" s="17" t="s">
        <v>504</v>
      </c>
      <c r="N129" s="2" t="s">
        <v>505</v>
      </c>
      <c r="O129" s="2" t="s">
        <v>51</v>
      </c>
      <c r="P129" s="2" t="s">
        <v>51</v>
      </c>
      <c r="Q129" s="2" t="s">
        <v>223</v>
      </c>
      <c r="R129" s="2" t="s">
        <v>61</v>
      </c>
      <c r="S129" s="2" t="s">
        <v>61</v>
      </c>
      <c r="T129" s="2" t="s">
        <v>60</v>
      </c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2" t="s">
        <v>51</v>
      </c>
      <c r="AS129" s="2" t="s">
        <v>51</v>
      </c>
      <c r="AT129" s="3"/>
      <c r="AU129" s="2" t="s">
        <v>506</v>
      </c>
      <c r="AV129" s="3">
        <v>104</v>
      </c>
      <c r="AW129" t="str">
        <f t="shared" si="7"/>
        <v>신설 소모잡자재비 관의 3%</v>
      </c>
    </row>
    <row r="130" spans="1:49" ht="30" hidden="1" customHeight="1" x14ac:dyDescent="0.3">
      <c r="A130" s="17" t="s">
        <v>507</v>
      </c>
      <c r="B130" s="17" t="s">
        <v>508</v>
      </c>
      <c r="C130" s="17" t="s">
        <v>503</v>
      </c>
      <c r="D130" s="41">
        <v>1</v>
      </c>
      <c r="E130" s="16">
        <f>TRUNC(단가대비표!O126,0)</f>
        <v>874275</v>
      </c>
      <c r="F130" s="16">
        <f t="shared" si="13"/>
        <v>874275</v>
      </c>
      <c r="G130" s="16">
        <f>TRUNC(단가대비표!P126,0)</f>
        <v>0</v>
      </c>
      <c r="H130" s="16">
        <f t="shared" si="14"/>
        <v>0</v>
      </c>
      <c r="I130" s="16">
        <f>TRUNC(단가대비표!V126,0)</f>
        <v>0</v>
      </c>
      <c r="J130" s="16">
        <f t="shared" si="15"/>
        <v>0</v>
      </c>
      <c r="K130" s="16">
        <f t="shared" si="16"/>
        <v>874275</v>
      </c>
      <c r="L130" s="16">
        <f t="shared" si="17"/>
        <v>874275</v>
      </c>
      <c r="M130" s="17" t="s">
        <v>509</v>
      </c>
      <c r="N130" s="2" t="s">
        <v>510</v>
      </c>
      <c r="O130" s="2" t="s">
        <v>51</v>
      </c>
      <c r="P130" s="2" t="s">
        <v>51</v>
      </c>
      <c r="Q130" s="2" t="s">
        <v>223</v>
      </c>
      <c r="R130" s="2" t="s">
        <v>61</v>
      </c>
      <c r="S130" s="2" t="s">
        <v>61</v>
      </c>
      <c r="T130" s="2" t="s">
        <v>60</v>
      </c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2" t="s">
        <v>51</v>
      </c>
      <c r="AS130" s="2" t="s">
        <v>51</v>
      </c>
      <c r="AT130" s="3"/>
      <c r="AU130" s="2" t="s">
        <v>511</v>
      </c>
      <c r="AV130" s="3">
        <v>105</v>
      </c>
      <c r="AW130" t="str">
        <f t="shared" si="7"/>
        <v>신설 공구손료 노무비의 3%</v>
      </c>
    </row>
    <row r="131" spans="1:49" ht="30" hidden="1" customHeight="1" x14ac:dyDescent="0.3">
      <c r="A131" s="17" t="s">
        <v>512</v>
      </c>
      <c r="B131" s="17" t="s">
        <v>513</v>
      </c>
      <c r="C131" s="17" t="s">
        <v>226</v>
      </c>
      <c r="D131" s="41">
        <v>1</v>
      </c>
      <c r="E131" s="16">
        <f>TRUNC(단가대비표!O127,0)</f>
        <v>2700000</v>
      </c>
      <c r="F131" s="16">
        <f t="shared" si="13"/>
        <v>2700000</v>
      </c>
      <c r="G131" s="16">
        <f>TRUNC(단가대비표!P127,0)</f>
        <v>214939</v>
      </c>
      <c r="H131" s="16">
        <f t="shared" si="14"/>
        <v>214939</v>
      </c>
      <c r="I131" s="16">
        <f>TRUNC(단가대비표!V127,0)</f>
        <v>0</v>
      </c>
      <c r="J131" s="16">
        <f t="shared" si="15"/>
        <v>0</v>
      </c>
      <c r="K131" s="16">
        <f t="shared" si="16"/>
        <v>2914939</v>
      </c>
      <c r="L131" s="16">
        <f t="shared" si="17"/>
        <v>2914939</v>
      </c>
      <c r="M131" s="17" t="s">
        <v>514</v>
      </c>
      <c r="N131" s="2" t="s">
        <v>515</v>
      </c>
      <c r="O131" s="2" t="s">
        <v>51</v>
      </c>
      <c r="P131" s="2" t="s">
        <v>51</v>
      </c>
      <c r="Q131" s="2" t="s">
        <v>223</v>
      </c>
      <c r="R131" s="2" t="s">
        <v>61</v>
      </c>
      <c r="S131" s="2" t="s">
        <v>61</v>
      </c>
      <c r="T131" s="2" t="s">
        <v>60</v>
      </c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2" t="s">
        <v>51</v>
      </c>
      <c r="AS131" s="2" t="s">
        <v>51</v>
      </c>
      <c r="AT131" s="3"/>
      <c r="AU131" s="2" t="s">
        <v>516</v>
      </c>
      <c r="AV131" s="3">
        <v>106</v>
      </c>
      <c r="AW131" t="str">
        <f t="shared" si="7"/>
        <v>가스식(mini FK-5-1-12)자동소화장치 	24㎏/19.8L×3BTL</v>
      </c>
    </row>
    <row r="132" spans="1:49" ht="30" hidden="1" customHeight="1" x14ac:dyDescent="0.3">
      <c r="A132" s="17" t="s">
        <v>418</v>
      </c>
      <c r="B132" s="17" t="s">
        <v>419</v>
      </c>
      <c r="C132" s="17" t="s">
        <v>187</v>
      </c>
      <c r="D132" s="41">
        <v>14</v>
      </c>
      <c r="E132" s="16">
        <f>TRUNC(단가대비표!O128,0)</f>
        <v>550</v>
      </c>
      <c r="F132" s="16">
        <f t="shared" si="13"/>
        <v>7700</v>
      </c>
      <c r="G132" s="16">
        <f>TRUNC(단가대비표!P128,0)</f>
        <v>22089</v>
      </c>
      <c r="H132" s="16">
        <f t="shared" si="14"/>
        <v>309246</v>
      </c>
      <c r="I132" s="16">
        <f>TRUNC(단가대비표!V128,0)</f>
        <v>0</v>
      </c>
      <c r="J132" s="16">
        <f t="shared" si="15"/>
        <v>0</v>
      </c>
      <c r="K132" s="16">
        <f t="shared" si="16"/>
        <v>22639</v>
      </c>
      <c r="L132" s="16">
        <f t="shared" si="17"/>
        <v>316946</v>
      </c>
      <c r="M132" s="17" t="s">
        <v>517</v>
      </c>
      <c r="N132" s="2" t="s">
        <v>518</v>
      </c>
      <c r="O132" s="2" t="s">
        <v>51</v>
      </c>
      <c r="P132" s="2" t="s">
        <v>51</v>
      </c>
      <c r="Q132" s="2" t="s">
        <v>223</v>
      </c>
      <c r="R132" s="2" t="s">
        <v>61</v>
      </c>
      <c r="S132" s="2" t="s">
        <v>61</v>
      </c>
      <c r="T132" s="2" t="s">
        <v>60</v>
      </c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2" t="s">
        <v>51</v>
      </c>
      <c r="AS132" s="2" t="s">
        <v>51</v>
      </c>
      <c r="AT132" s="3"/>
      <c r="AU132" s="2" t="s">
        <v>519</v>
      </c>
      <c r="AV132" s="3">
        <v>107</v>
      </c>
      <c r="AW132" t="str">
        <f t="shared" si="7"/>
        <v>셋트앙카볼트 	3/8×70(9×70)</v>
      </c>
    </row>
    <row r="133" spans="1:49" ht="30" hidden="1" customHeight="1" x14ac:dyDescent="0.3">
      <c r="A133" s="17" t="s">
        <v>457</v>
      </c>
      <c r="B133" s="17" t="s">
        <v>251</v>
      </c>
      <c r="C133" s="17" t="s">
        <v>57</v>
      </c>
      <c r="D133" s="41">
        <v>7</v>
      </c>
      <c r="E133" s="16">
        <f>TRUNC(단가대비표!O129,0)</f>
        <v>6000</v>
      </c>
      <c r="F133" s="16">
        <f t="shared" si="13"/>
        <v>42000</v>
      </c>
      <c r="G133" s="16">
        <f>TRUNC(단가대비표!P129,0)</f>
        <v>4008</v>
      </c>
      <c r="H133" s="16">
        <f t="shared" si="14"/>
        <v>28056</v>
      </c>
      <c r="I133" s="16">
        <f>TRUNC(단가대비표!V129,0)</f>
        <v>0</v>
      </c>
      <c r="J133" s="16">
        <f t="shared" si="15"/>
        <v>0</v>
      </c>
      <c r="K133" s="16">
        <f t="shared" si="16"/>
        <v>10008</v>
      </c>
      <c r="L133" s="16">
        <f t="shared" si="17"/>
        <v>70056</v>
      </c>
      <c r="M133" s="17" t="s">
        <v>520</v>
      </c>
      <c r="N133" s="2" t="s">
        <v>521</v>
      </c>
      <c r="O133" s="2" t="s">
        <v>51</v>
      </c>
      <c r="P133" s="2" t="s">
        <v>51</v>
      </c>
      <c r="Q133" s="2" t="s">
        <v>223</v>
      </c>
      <c r="R133" s="2" t="s">
        <v>61</v>
      </c>
      <c r="S133" s="2" t="s">
        <v>61</v>
      </c>
      <c r="T133" s="2" t="s">
        <v>60</v>
      </c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2" t="s">
        <v>51</v>
      </c>
      <c r="AS133" s="2" t="s">
        <v>51</v>
      </c>
      <c r="AT133" s="3"/>
      <c r="AU133" s="2" t="s">
        <v>522</v>
      </c>
      <c r="AV133" s="3">
        <v>108</v>
      </c>
      <c r="AW133" t="str">
        <f t="shared" si="7"/>
        <v>동관 6A</v>
      </c>
    </row>
    <row r="134" spans="1:49" ht="30" hidden="1" customHeight="1" x14ac:dyDescent="0.3">
      <c r="A134" s="17" t="s">
        <v>523</v>
      </c>
      <c r="B134" s="17" t="s">
        <v>502</v>
      </c>
      <c r="C134" s="17" t="s">
        <v>503</v>
      </c>
      <c r="D134" s="41">
        <v>1</v>
      </c>
      <c r="E134" s="16">
        <f>TRUNC(단가대비표!O130,0)</f>
        <v>1260</v>
      </c>
      <c r="F134" s="16">
        <f t="shared" si="13"/>
        <v>1260</v>
      </c>
      <c r="G134" s="16">
        <f>TRUNC(단가대비표!P130,0)</f>
        <v>0</v>
      </c>
      <c r="H134" s="16">
        <f t="shared" si="14"/>
        <v>0</v>
      </c>
      <c r="I134" s="16">
        <f>TRUNC(단가대비표!V130,0)</f>
        <v>0</v>
      </c>
      <c r="J134" s="16">
        <f t="shared" si="15"/>
        <v>0</v>
      </c>
      <c r="K134" s="16">
        <f t="shared" si="16"/>
        <v>1260</v>
      </c>
      <c r="L134" s="16">
        <f t="shared" si="17"/>
        <v>1260</v>
      </c>
      <c r="M134" s="17" t="s">
        <v>524</v>
      </c>
      <c r="N134" s="2" t="s">
        <v>525</v>
      </c>
      <c r="O134" s="2" t="s">
        <v>51</v>
      </c>
      <c r="P134" s="2" t="s">
        <v>51</v>
      </c>
      <c r="Q134" s="2" t="s">
        <v>223</v>
      </c>
      <c r="R134" s="2" t="s">
        <v>61</v>
      </c>
      <c r="S134" s="2" t="s">
        <v>61</v>
      </c>
      <c r="T134" s="2" t="s">
        <v>60</v>
      </c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2" t="s">
        <v>51</v>
      </c>
      <c r="AS134" s="2" t="s">
        <v>51</v>
      </c>
      <c r="AT134" s="3"/>
      <c r="AU134" s="2" t="s">
        <v>526</v>
      </c>
      <c r="AV134" s="3">
        <v>109</v>
      </c>
      <c r="AW134" t="str">
        <f t="shared" si="7"/>
        <v>소공간 소모잡자재비 관의 3%</v>
      </c>
    </row>
    <row r="135" spans="1:49" ht="30" hidden="1" customHeight="1" x14ac:dyDescent="0.3">
      <c r="A135" s="17" t="s">
        <v>527</v>
      </c>
      <c r="B135" s="17" t="s">
        <v>508</v>
      </c>
      <c r="C135" s="17" t="s">
        <v>503</v>
      </c>
      <c r="D135" s="41">
        <v>1</v>
      </c>
      <c r="E135" s="16">
        <f>TRUNC(단가대비표!O131,0)</f>
        <v>16567</v>
      </c>
      <c r="F135" s="16">
        <f t="shared" si="13"/>
        <v>16567</v>
      </c>
      <c r="G135" s="16">
        <f>TRUNC(단가대비표!P131,0)</f>
        <v>0</v>
      </c>
      <c r="H135" s="16">
        <f t="shared" si="14"/>
        <v>0</v>
      </c>
      <c r="I135" s="16">
        <f>TRUNC(단가대비표!V131,0)</f>
        <v>0</v>
      </c>
      <c r="J135" s="16">
        <f t="shared" si="15"/>
        <v>0</v>
      </c>
      <c r="K135" s="16">
        <f t="shared" si="16"/>
        <v>16567</v>
      </c>
      <c r="L135" s="16">
        <f t="shared" si="17"/>
        <v>16567</v>
      </c>
      <c r="M135" s="17" t="s">
        <v>528</v>
      </c>
      <c r="N135" s="2" t="s">
        <v>529</v>
      </c>
      <c r="O135" s="2" t="s">
        <v>51</v>
      </c>
      <c r="P135" s="2" t="s">
        <v>51</v>
      </c>
      <c r="Q135" s="2" t="s">
        <v>223</v>
      </c>
      <c r="R135" s="2" t="s">
        <v>61</v>
      </c>
      <c r="S135" s="2" t="s">
        <v>61</v>
      </c>
      <c r="T135" s="2" t="s">
        <v>60</v>
      </c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2" t="s">
        <v>51</v>
      </c>
      <c r="AS135" s="2" t="s">
        <v>51</v>
      </c>
      <c r="AT135" s="3"/>
      <c r="AU135" s="2" t="s">
        <v>530</v>
      </c>
      <c r="AV135" s="3">
        <v>110</v>
      </c>
      <c r="AW135" t="str">
        <f t="shared" ref="AW135:AW167" si="18">CONCATENATE(A135," ",B135)</f>
        <v>소공간 공구손료 노무비의 3%</v>
      </c>
    </row>
    <row r="136" spans="1:49" ht="30" hidden="1" customHeight="1" x14ac:dyDescent="0.3">
      <c r="A136" s="15"/>
      <c r="B136" s="15"/>
      <c r="C136" s="15"/>
      <c r="D136" s="41"/>
      <c r="E136" s="16"/>
      <c r="F136" s="16"/>
      <c r="G136" s="16"/>
      <c r="H136" s="16"/>
      <c r="I136" s="16"/>
      <c r="J136" s="16"/>
      <c r="K136" s="16"/>
      <c r="L136" s="16"/>
      <c r="M136" s="15"/>
      <c r="Q136" s="1" t="s">
        <v>223</v>
      </c>
      <c r="AW136" t="str">
        <f t="shared" si="18"/>
        <v xml:space="preserve"> </v>
      </c>
    </row>
    <row r="137" spans="1:49" ht="30" hidden="1" customHeight="1" x14ac:dyDescent="0.3">
      <c r="A137" s="15"/>
      <c r="B137" s="15"/>
      <c r="C137" s="15"/>
      <c r="D137" s="41"/>
      <c r="E137" s="16"/>
      <c r="F137" s="16"/>
      <c r="G137" s="16"/>
      <c r="H137" s="16"/>
      <c r="I137" s="16"/>
      <c r="J137" s="16"/>
      <c r="K137" s="16"/>
      <c r="L137" s="16"/>
      <c r="M137" s="15"/>
      <c r="Q137" s="1" t="s">
        <v>223</v>
      </c>
      <c r="AW137" t="str">
        <f t="shared" si="18"/>
        <v xml:space="preserve"> </v>
      </c>
    </row>
    <row r="138" spans="1:49" ht="30" hidden="1" customHeight="1" x14ac:dyDescent="0.3">
      <c r="A138" s="15"/>
      <c r="B138" s="15"/>
      <c r="C138" s="15"/>
      <c r="D138" s="41"/>
      <c r="E138" s="16"/>
      <c r="F138" s="16"/>
      <c r="G138" s="16"/>
      <c r="H138" s="16"/>
      <c r="I138" s="16"/>
      <c r="J138" s="16"/>
      <c r="K138" s="16"/>
      <c r="L138" s="16"/>
      <c r="M138" s="15"/>
      <c r="Q138" s="1" t="s">
        <v>223</v>
      </c>
      <c r="AW138" t="str">
        <f t="shared" si="18"/>
        <v xml:space="preserve"> </v>
      </c>
    </row>
    <row r="139" spans="1:49" ht="30" hidden="1" customHeight="1" x14ac:dyDescent="0.3">
      <c r="A139" s="15"/>
      <c r="B139" s="15"/>
      <c r="C139" s="15"/>
      <c r="D139" s="41"/>
      <c r="E139" s="16"/>
      <c r="F139" s="16"/>
      <c r="G139" s="16"/>
      <c r="H139" s="16"/>
      <c r="I139" s="16"/>
      <c r="J139" s="16"/>
      <c r="K139" s="16"/>
      <c r="L139" s="16"/>
      <c r="M139" s="15"/>
      <c r="Q139" s="1" t="s">
        <v>223</v>
      </c>
      <c r="AW139" t="str">
        <f t="shared" si="18"/>
        <v xml:space="preserve"> </v>
      </c>
    </row>
    <row r="140" spans="1:49" ht="30" hidden="1" customHeight="1" x14ac:dyDescent="0.3">
      <c r="A140" s="15"/>
      <c r="B140" s="15"/>
      <c r="C140" s="15"/>
      <c r="D140" s="41"/>
      <c r="E140" s="16"/>
      <c r="F140" s="16"/>
      <c r="G140" s="16"/>
      <c r="H140" s="16"/>
      <c r="I140" s="16"/>
      <c r="J140" s="16"/>
      <c r="K140" s="16"/>
      <c r="L140" s="16"/>
      <c r="M140" s="15"/>
      <c r="Q140" s="1" t="s">
        <v>223</v>
      </c>
      <c r="AW140" t="str">
        <f t="shared" si="18"/>
        <v xml:space="preserve"> </v>
      </c>
    </row>
    <row r="141" spans="1:49" ht="30" hidden="1" customHeight="1" x14ac:dyDescent="0.3">
      <c r="A141" s="17" t="s">
        <v>220</v>
      </c>
      <c r="B141" s="15"/>
      <c r="C141" s="15"/>
      <c r="D141" s="41"/>
      <c r="E141" s="16"/>
      <c r="F141" s="16">
        <f>SUMIF(Q65:Q140,"0102",F65:F140)</f>
        <v>89756813</v>
      </c>
      <c r="G141" s="16"/>
      <c r="H141" s="16">
        <f>SUMIF(Q65:Q140,"0102",H65:H140)</f>
        <v>29694742</v>
      </c>
      <c r="I141" s="16"/>
      <c r="J141" s="16">
        <f>SUMIF(Q65:Q140,"0102",J65:J140)</f>
        <v>0</v>
      </c>
      <c r="K141" s="16"/>
      <c r="L141" s="16">
        <f>SUMIF(Q65:Q140,"0102",L65:L140)</f>
        <v>119451555</v>
      </c>
      <c r="M141" s="15"/>
      <c r="N141" t="s">
        <v>221</v>
      </c>
      <c r="AW141" t="str">
        <f t="shared" si="18"/>
        <v xml:space="preserve">[ 합           계 ] </v>
      </c>
    </row>
    <row r="142" spans="1:49" ht="30" hidden="1" customHeight="1" x14ac:dyDescent="0.3">
      <c r="A142" s="17" t="s">
        <v>531</v>
      </c>
      <c r="B142" s="17" t="s">
        <v>51</v>
      </c>
      <c r="C142" s="15"/>
      <c r="D142" s="41"/>
      <c r="E142" s="16"/>
      <c r="F142" s="16"/>
      <c r="G142" s="16"/>
      <c r="H142" s="16"/>
      <c r="I142" s="16"/>
      <c r="J142" s="16"/>
      <c r="K142" s="16"/>
      <c r="L142" s="16"/>
      <c r="M142" s="15"/>
      <c r="N142" s="3"/>
      <c r="O142" s="3"/>
      <c r="P142" s="3"/>
      <c r="Q142" s="2" t="s">
        <v>532</v>
      </c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t="str">
        <f t="shared" si="18"/>
        <v xml:space="preserve">0103  철거공사 </v>
      </c>
    </row>
    <row r="143" spans="1:49" ht="30" hidden="1" customHeight="1" x14ac:dyDescent="0.3">
      <c r="A143" s="17" t="s">
        <v>533</v>
      </c>
      <c r="B143" s="17" t="s">
        <v>534</v>
      </c>
      <c r="C143" s="17" t="s">
        <v>535</v>
      </c>
      <c r="D143" s="41">
        <v>37</v>
      </c>
      <c r="E143" s="16">
        <f>TRUNC(단가대비표!O132,0)</f>
        <v>0</v>
      </c>
      <c r="F143" s="16">
        <f t="shared" ref="F143:F152" si="19">TRUNC(E143*D143, 0)</f>
        <v>0</v>
      </c>
      <c r="G143" s="16">
        <f>TRUNC(단가대비표!P132,0)</f>
        <v>77212</v>
      </c>
      <c r="H143" s="16">
        <f t="shared" ref="H143:H152" si="20">TRUNC(G143*D143, 0)</f>
        <v>2856844</v>
      </c>
      <c r="I143" s="16">
        <f>TRUNC(단가대비표!V132,0)</f>
        <v>0</v>
      </c>
      <c r="J143" s="16">
        <f t="shared" ref="J143:J152" si="21">TRUNC(I143*D143, 0)</f>
        <v>0</v>
      </c>
      <c r="K143" s="16">
        <f t="shared" ref="K143:K152" si="22">TRUNC(E143+G143+I143, 0)</f>
        <v>77212</v>
      </c>
      <c r="L143" s="16">
        <f t="shared" ref="L143:L152" si="23">TRUNC(F143+H143+J143, 0)</f>
        <v>2856844</v>
      </c>
      <c r="M143" s="17" t="s">
        <v>536</v>
      </c>
      <c r="N143" s="2" t="s">
        <v>537</v>
      </c>
      <c r="O143" s="2" t="s">
        <v>51</v>
      </c>
      <c r="P143" s="2" t="s">
        <v>51</v>
      </c>
      <c r="Q143" s="2" t="s">
        <v>532</v>
      </c>
      <c r="R143" s="2" t="s">
        <v>61</v>
      </c>
      <c r="S143" s="2" t="s">
        <v>61</v>
      </c>
      <c r="T143" s="2" t="s">
        <v>60</v>
      </c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2" t="s">
        <v>51</v>
      </c>
      <c r="AS143" s="2" t="s">
        <v>51</v>
      </c>
      <c r="AT143" s="3"/>
      <c r="AU143" s="2" t="s">
        <v>538</v>
      </c>
      <c r="AV143" s="3">
        <v>112</v>
      </c>
      <c r="AW143" t="str">
        <f t="shared" si="18"/>
        <v>CO2실린더 철거 68L/45KG</v>
      </c>
    </row>
    <row r="144" spans="1:49" ht="30" hidden="1" customHeight="1" x14ac:dyDescent="0.3">
      <c r="A144" s="17" t="s">
        <v>539</v>
      </c>
      <c r="B144" s="17" t="s">
        <v>540</v>
      </c>
      <c r="C144" s="17" t="s">
        <v>93</v>
      </c>
      <c r="D144" s="41">
        <v>2</v>
      </c>
      <c r="E144" s="16">
        <f>TRUNC(단가대비표!O133,0)</f>
        <v>0</v>
      </c>
      <c r="F144" s="16">
        <f t="shared" si="19"/>
        <v>0</v>
      </c>
      <c r="G144" s="16">
        <f>TRUNC(단가대비표!P133,0)</f>
        <v>154425</v>
      </c>
      <c r="H144" s="16">
        <f t="shared" si="20"/>
        <v>308850</v>
      </c>
      <c r="I144" s="16">
        <f>TRUNC(단가대비표!V133,0)</f>
        <v>0</v>
      </c>
      <c r="J144" s="16">
        <f t="shared" si="21"/>
        <v>0</v>
      </c>
      <c r="K144" s="16">
        <f t="shared" si="22"/>
        <v>154425</v>
      </c>
      <c r="L144" s="16">
        <f t="shared" si="23"/>
        <v>308850</v>
      </c>
      <c r="M144" s="17" t="s">
        <v>541</v>
      </c>
      <c r="N144" s="2" t="s">
        <v>542</v>
      </c>
      <c r="O144" s="2" t="s">
        <v>51</v>
      </c>
      <c r="P144" s="2" t="s">
        <v>51</v>
      </c>
      <c r="Q144" s="2" t="s">
        <v>532</v>
      </c>
      <c r="R144" s="2" t="s">
        <v>61</v>
      </c>
      <c r="S144" s="2" t="s">
        <v>61</v>
      </c>
      <c r="T144" s="2" t="s">
        <v>60</v>
      </c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2" t="s">
        <v>51</v>
      </c>
      <c r="AS144" s="2" t="s">
        <v>51</v>
      </c>
      <c r="AT144" s="3"/>
      <c r="AU144" s="2" t="s">
        <v>543</v>
      </c>
      <c r="AV144" s="3">
        <v>113</v>
      </c>
      <c r="AW144" t="str">
        <f t="shared" si="18"/>
        <v>선택밸브 철거 80A</v>
      </c>
    </row>
    <row r="145" spans="1:49" ht="30" hidden="1" customHeight="1" x14ac:dyDescent="0.3">
      <c r="A145" s="17" t="s">
        <v>544</v>
      </c>
      <c r="B145" s="17" t="s">
        <v>545</v>
      </c>
      <c r="C145" s="17" t="s">
        <v>93</v>
      </c>
      <c r="D145" s="41">
        <v>5</v>
      </c>
      <c r="E145" s="16">
        <f>TRUNC(단가대비표!O134,0)</f>
        <v>0</v>
      </c>
      <c r="F145" s="16">
        <f t="shared" si="19"/>
        <v>0</v>
      </c>
      <c r="G145" s="16">
        <f>TRUNC(단가대비표!P134,0)</f>
        <v>77212</v>
      </c>
      <c r="H145" s="16">
        <f t="shared" si="20"/>
        <v>386060</v>
      </c>
      <c r="I145" s="16">
        <f>TRUNC(단가대비표!V134,0)</f>
        <v>0</v>
      </c>
      <c r="J145" s="16">
        <f t="shared" si="21"/>
        <v>0</v>
      </c>
      <c r="K145" s="16">
        <f t="shared" si="22"/>
        <v>77212</v>
      </c>
      <c r="L145" s="16">
        <f t="shared" si="23"/>
        <v>386060</v>
      </c>
      <c r="M145" s="17" t="s">
        <v>546</v>
      </c>
      <c r="N145" s="2" t="s">
        <v>547</v>
      </c>
      <c r="O145" s="2" t="s">
        <v>51</v>
      </c>
      <c r="P145" s="2" t="s">
        <v>51</v>
      </c>
      <c r="Q145" s="2" t="s">
        <v>532</v>
      </c>
      <c r="R145" s="2" t="s">
        <v>61</v>
      </c>
      <c r="S145" s="2" t="s">
        <v>61</v>
      </c>
      <c r="T145" s="2" t="s">
        <v>60</v>
      </c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2" t="s">
        <v>51</v>
      </c>
      <c r="AS145" s="2" t="s">
        <v>51</v>
      </c>
      <c r="AT145" s="3"/>
      <c r="AU145" s="2" t="s">
        <v>548</v>
      </c>
      <c r="AV145" s="3">
        <v>114</v>
      </c>
      <c r="AW145" t="str">
        <f t="shared" si="18"/>
        <v>기동용기함 철거 0</v>
      </c>
    </row>
    <row r="146" spans="1:49" ht="30" hidden="1" customHeight="1" x14ac:dyDescent="0.3">
      <c r="A146" s="17" t="s">
        <v>549</v>
      </c>
      <c r="B146" s="17" t="s">
        <v>540</v>
      </c>
      <c r="C146" s="17" t="s">
        <v>74</v>
      </c>
      <c r="D146" s="41">
        <v>32</v>
      </c>
      <c r="E146" s="16">
        <f>TRUNC(단가대비표!O135,0)</f>
        <v>0</v>
      </c>
      <c r="F146" s="16">
        <f t="shared" si="19"/>
        <v>0</v>
      </c>
      <c r="G146" s="16">
        <f>TRUNC(단가대비표!P135,0)</f>
        <v>24332</v>
      </c>
      <c r="H146" s="16">
        <f t="shared" si="20"/>
        <v>778624</v>
      </c>
      <c r="I146" s="16">
        <f>TRUNC(단가대비표!V135,0)</f>
        <v>0</v>
      </c>
      <c r="J146" s="16">
        <f t="shared" si="21"/>
        <v>0</v>
      </c>
      <c r="K146" s="16">
        <f t="shared" si="22"/>
        <v>24332</v>
      </c>
      <c r="L146" s="16">
        <f t="shared" si="23"/>
        <v>778624</v>
      </c>
      <c r="M146" s="17" t="s">
        <v>550</v>
      </c>
      <c r="N146" s="2" t="s">
        <v>551</v>
      </c>
      <c r="O146" s="2" t="s">
        <v>51</v>
      </c>
      <c r="P146" s="2" t="s">
        <v>51</v>
      </c>
      <c r="Q146" s="2" t="s">
        <v>532</v>
      </c>
      <c r="R146" s="2" t="s">
        <v>61</v>
      </c>
      <c r="S146" s="2" t="s">
        <v>61</v>
      </c>
      <c r="T146" s="2" t="s">
        <v>60</v>
      </c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2" t="s">
        <v>51</v>
      </c>
      <c r="AS146" s="2" t="s">
        <v>51</v>
      </c>
      <c r="AT146" s="3"/>
      <c r="AU146" s="2" t="s">
        <v>552</v>
      </c>
      <c r="AV146" s="3">
        <v>115</v>
      </c>
      <c r="AW146" t="str">
        <f t="shared" si="18"/>
        <v>SCH80 PIPE 철거 80A</v>
      </c>
    </row>
    <row r="147" spans="1:49" ht="30" hidden="1" customHeight="1" x14ac:dyDescent="0.3">
      <c r="A147" s="17" t="s">
        <v>549</v>
      </c>
      <c r="B147" s="17" t="s">
        <v>315</v>
      </c>
      <c r="C147" s="17" t="s">
        <v>74</v>
      </c>
      <c r="D147" s="41">
        <v>36</v>
      </c>
      <c r="E147" s="16">
        <f>TRUNC(단가대비표!O136,0)</f>
        <v>0</v>
      </c>
      <c r="F147" s="16">
        <f t="shared" si="19"/>
        <v>0</v>
      </c>
      <c r="G147" s="16">
        <f>TRUNC(단가대비표!P136,0)</f>
        <v>19210</v>
      </c>
      <c r="H147" s="16">
        <f t="shared" si="20"/>
        <v>691560</v>
      </c>
      <c r="I147" s="16">
        <f>TRUNC(단가대비표!V136,0)</f>
        <v>0</v>
      </c>
      <c r="J147" s="16">
        <f t="shared" si="21"/>
        <v>0</v>
      </c>
      <c r="K147" s="16">
        <f t="shared" si="22"/>
        <v>19210</v>
      </c>
      <c r="L147" s="16">
        <f t="shared" si="23"/>
        <v>691560</v>
      </c>
      <c r="M147" s="17" t="s">
        <v>553</v>
      </c>
      <c r="N147" s="2" t="s">
        <v>554</v>
      </c>
      <c r="O147" s="2" t="s">
        <v>51</v>
      </c>
      <c r="P147" s="2" t="s">
        <v>51</v>
      </c>
      <c r="Q147" s="2" t="s">
        <v>532</v>
      </c>
      <c r="R147" s="2" t="s">
        <v>61</v>
      </c>
      <c r="S147" s="2" t="s">
        <v>61</v>
      </c>
      <c r="T147" s="2" t="s">
        <v>60</v>
      </c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2" t="s">
        <v>51</v>
      </c>
      <c r="AS147" s="2" t="s">
        <v>51</v>
      </c>
      <c r="AT147" s="3"/>
      <c r="AU147" s="2" t="s">
        <v>555</v>
      </c>
      <c r="AV147" s="3">
        <v>116</v>
      </c>
      <c r="AW147" t="str">
        <f t="shared" si="18"/>
        <v>SCH80 PIPE 철거 65A</v>
      </c>
    </row>
    <row r="148" spans="1:49" ht="30" hidden="1" customHeight="1" x14ac:dyDescent="0.3">
      <c r="A148" s="17" t="s">
        <v>549</v>
      </c>
      <c r="B148" s="17" t="s">
        <v>273</v>
      </c>
      <c r="C148" s="17" t="s">
        <v>74</v>
      </c>
      <c r="D148" s="41">
        <v>22</v>
      </c>
      <c r="E148" s="16">
        <f>TRUNC(단가대비표!O137,0)</f>
        <v>0</v>
      </c>
      <c r="F148" s="16">
        <f t="shared" si="19"/>
        <v>0</v>
      </c>
      <c r="G148" s="16">
        <f>TRUNC(단가대비표!P137,0)</f>
        <v>12877</v>
      </c>
      <c r="H148" s="16">
        <f t="shared" si="20"/>
        <v>283294</v>
      </c>
      <c r="I148" s="16">
        <f>TRUNC(단가대비표!V137,0)</f>
        <v>0</v>
      </c>
      <c r="J148" s="16">
        <f t="shared" si="21"/>
        <v>0</v>
      </c>
      <c r="K148" s="16">
        <f t="shared" si="22"/>
        <v>12877</v>
      </c>
      <c r="L148" s="16">
        <f t="shared" si="23"/>
        <v>283294</v>
      </c>
      <c r="M148" s="17" t="s">
        <v>556</v>
      </c>
      <c r="N148" s="2" t="s">
        <v>557</v>
      </c>
      <c r="O148" s="2" t="s">
        <v>51</v>
      </c>
      <c r="P148" s="2" t="s">
        <v>51</v>
      </c>
      <c r="Q148" s="2" t="s">
        <v>532</v>
      </c>
      <c r="R148" s="2" t="s">
        <v>61</v>
      </c>
      <c r="S148" s="2" t="s">
        <v>61</v>
      </c>
      <c r="T148" s="2" t="s">
        <v>60</v>
      </c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2" t="s">
        <v>51</v>
      </c>
      <c r="AS148" s="2" t="s">
        <v>51</v>
      </c>
      <c r="AT148" s="3"/>
      <c r="AU148" s="2" t="s">
        <v>558</v>
      </c>
      <c r="AV148" s="3">
        <v>117</v>
      </c>
      <c r="AW148" t="str">
        <f t="shared" si="18"/>
        <v>SCH80 PIPE 철거 40A</v>
      </c>
    </row>
    <row r="149" spans="1:49" ht="30" hidden="1" customHeight="1" x14ac:dyDescent="0.3">
      <c r="A149" s="17" t="s">
        <v>549</v>
      </c>
      <c r="B149" s="17" t="s">
        <v>559</v>
      </c>
      <c r="C149" s="17" t="s">
        <v>74</v>
      </c>
      <c r="D149" s="41">
        <v>11</v>
      </c>
      <c r="E149" s="16">
        <f>TRUNC(단가대비표!O138,0)</f>
        <v>0</v>
      </c>
      <c r="F149" s="16">
        <f t="shared" si="19"/>
        <v>0</v>
      </c>
      <c r="G149" s="16">
        <f>TRUNC(단가대비표!P138,0)</f>
        <v>11665</v>
      </c>
      <c r="H149" s="16">
        <f t="shared" si="20"/>
        <v>128315</v>
      </c>
      <c r="I149" s="16">
        <f>TRUNC(단가대비표!V138,0)</f>
        <v>0</v>
      </c>
      <c r="J149" s="16">
        <f t="shared" si="21"/>
        <v>0</v>
      </c>
      <c r="K149" s="16">
        <f t="shared" si="22"/>
        <v>11665</v>
      </c>
      <c r="L149" s="16">
        <f t="shared" si="23"/>
        <v>128315</v>
      </c>
      <c r="M149" s="17" t="s">
        <v>560</v>
      </c>
      <c r="N149" s="2" t="s">
        <v>561</v>
      </c>
      <c r="O149" s="2" t="s">
        <v>51</v>
      </c>
      <c r="P149" s="2" t="s">
        <v>51</v>
      </c>
      <c r="Q149" s="2" t="s">
        <v>532</v>
      </c>
      <c r="R149" s="2" t="s">
        <v>61</v>
      </c>
      <c r="S149" s="2" t="s">
        <v>61</v>
      </c>
      <c r="T149" s="2" t="s">
        <v>60</v>
      </c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2" t="s">
        <v>51</v>
      </c>
      <c r="AS149" s="2" t="s">
        <v>51</v>
      </c>
      <c r="AT149" s="3"/>
      <c r="AU149" s="2" t="s">
        <v>562</v>
      </c>
      <c r="AV149" s="3">
        <v>118</v>
      </c>
      <c r="AW149" t="str">
        <f t="shared" si="18"/>
        <v>SCH80 PIPE 철거 32A</v>
      </c>
    </row>
    <row r="150" spans="1:49" ht="30" hidden="1" customHeight="1" x14ac:dyDescent="0.3">
      <c r="A150" s="17" t="s">
        <v>549</v>
      </c>
      <c r="B150" s="17" t="s">
        <v>563</v>
      </c>
      <c r="C150" s="17" t="s">
        <v>74</v>
      </c>
      <c r="D150" s="41">
        <v>20</v>
      </c>
      <c r="E150" s="16">
        <f>TRUNC(단가대비표!O139,0)</f>
        <v>0</v>
      </c>
      <c r="F150" s="16">
        <f t="shared" si="19"/>
        <v>0</v>
      </c>
      <c r="G150" s="16">
        <f>TRUNC(단가대비표!P139,0)</f>
        <v>10013</v>
      </c>
      <c r="H150" s="16">
        <f t="shared" si="20"/>
        <v>200260</v>
      </c>
      <c r="I150" s="16">
        <f>TRUNC(단가대비표!V139,0)</f>
        <v>0</v>
      </c>
      <c r="J150" s="16">
        <f t="shared" si="21"/>
        <v>0</v>
      </c>
      <c r="K150" s="16">
        <f t="shared" si="22"/>
        <v>10013</v>
      </c>
      <c r="L150" s="16">
        <f t="shared" si="23"/>
        <v>200260</v>
      </c>
      <c r="M150" s="17" t="s">
        <v>564</v>
      </c>
      <c r="N150" s="2" t="s">
        <v>565</v>
      </c>
      <c r="O150" s="2" t="s">
        <v>51</v>
      </c>
      <c r="P150" s="2" t="s">
        <v>51</v>
      </c>
      <c r="Q150" s="2" t="s">
        <v>532</v>
      </c>
      <c r="R150" s="2" t="s">
        <v>61</v>
      </c>
      <c r="S150" s="2" t="s">
        <v>61</v>
      </c>
      <c r="T150" s="2" t="s">
        <v>60</v>
      </c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2" t="s">
        <v>51</v>
      </c>
      <c r="AS150" s="2" t="s">
        <v>51</v>
      </c>
      <c r="AT150" s="3"/>
      <c r="AU150" s="2" t="s">
        <v>566</v>
      </c>
      <c r="AV150" s="3">
        <v>119</v>
      </c>
      <c r="AW150" t="str">
        <f t="shared" si="18"/>
        <v>SCH80 PIPE 철거 25A</v>
      </c>
    </row>
    <row r="151" spans="1:49" ht="30" hidden="1" customHeight="1" x14ac:dyDescent="0.3">
      <c r="A151" s="17" t="s">
        <v>567</v>
      </c>
      <c r="B151" s="17" t="s">
        <v>563</v>
      </c>
      <c r="C151" s="17" t="s">
        <v>187</v>
      </c>
      <c r="D151" s="41">
        <v>11</v>
      </c>
      <c r="E151" s="16">
        <f>TRUNC(단가대비표!O140,0)</f>
        <v>0</v>
      </c>
      <c r="F151" s="16">
        <f t="shared" si="19"/>
        <v>0</v>
      </c>
      <c r="G151" s="16">
        <f>TRUNC(단가대비표!P140,0)</f>
        <v>26152</v>
      </c>
      <c r="H151" s="16">
        <f t="shared" si="20"/>
        <v>287672</v>
      </c>
      <c r="I151" s="16">
        <f>TRUNC(단가대비표!V140,0)</f>
        <v>0</v>
      </c>
      <c r="J151" s="16">
        <f t="shared" si="21"/>
        <v>0</v>
      </c>
      <c r="K151" s="16">
        <f t="shared" si="22"/>
        <v>26152</v>
      </c>
      <c r="L151" s="16">
        <f t="shared" si="23"/>
        <v>287672</v>
      </c>
      <c r="M151" s="17" t="s">
        <v>568</v>
      </c>
      <c r="N151" s="2" t="s">
        <v>569</v>
      </c>
      <c r="O151" s="2" t="s">
        <v>51</v>
      </c>
      <c r="P151" s="2" t="s">
        <v>51</v>
      </c>
      <c r="Q151" s="2" t="s">
        <v>532</v>
      </c>
      <c r="R151" s="2" t="s">
        <v>61</v>
      </c>
      <c r="S151" s="2" t="s">
        <v>61</v>
      </c>
      <c r="T151" s="2" t="s">
        <v>60</v>
      </c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2" t="s">
        <v>51</v>
      </c>
      <c r="AS151" s="2" t="s">
        <v>51</v>
      </c>
      <c r="AT151" s="3"/>
      <c r="AU151" s="2" t="s">
        <v>570</v>
      </c>
      <c r="AV151" s="3">
        <v>120</v>
      </c>
      <c r="AW151" t="str">
        <f t="shared" si="18"/>
        <v>CO2 노즐 철거 25A</v>
      </c>
    </row>
    <row r="152" spans="1:49" ht="30" hidden="1" customHeight="1" x14ac:dyDescent="0.3">
      <c r="A152" s="17" t="s">
        <v>571</v>
      </c>
      <c r="B152" s="17" t="s">
        <v>508</v>
      </c>
      <c r="C152" s="17" t="s">
        <v>503</v>
      </c>
      <c r="D152" s="41">
        <v>1</v>
      </c>
      <c r="E152" s="16">
        <f>TRUNC(단가대비표!O141,0)</f>
        <v>177644</v>
      </c>
      <c r="F152" s="16">
        <f t="shared" si="19"/>
        <v>177644</v>
      </c>
      <c r="G152" s="16">
        <f>TRUNC(단가대비표!P141,0)</f>
        <v>0</v>
      </c>
      <c r="H152" s="16">
        <f t="shared" si="20"/>
        <v>0</v>
      </c>
      <c r="I152" s="16">
        <f>TRUNC(단가대비표!V141,0)</f>
        <v>0</v>
      </c>
      <c r="J152" s="16">
        <f t="shared" si="21"/>
        <v>0</v>
      </c>
      <c r="K152" s="16">
        <f t="shared" si="22"/>
        <v>177644</v>
      </c>
      <c r="L152" s="16">
        <f t="shared" si="23"/>
        <v>177644</v>
      </c>
      <c r="M152" s="17" t="s">
        <v>572</v>
      </c>
      <c r="N152" s="2" t="s">
        <v>573</v>
      </c>
      <c r="O152" s="2" t="s">
        <v>51</v>
      </c>
      <c r="P152" s="2" t="s">
        <v>51</v>
      </c>
      <c r="Q152" s="2" t="s">
        <v>532</v>
      </c>
      <c r="R152" s="2" t="s">
        <v>61</v>
      </c>
      <c r="S152" s="2" t="s">
        <v>61</v>
      </c>
      <c r="T152" s="2" t="s">
        <v>60</v>
      </c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2" t="s">
        <v>51</v>
      </c>
      <c r="AS152" s="2" t="s">
        <v>51</v>
      </c>
      <c r="AT152" s="3"/>
      <c r="AU152" s="2" t="s">
        <v>574</v>
      </c>
      <c r="AV152" s="3">
        <v>121</v>
      </c>
      <c r="AW152" t="str">
        <f t="shared" si="18"/>
        <v>철거 공구손료 노무비의 3%</v>
      </c>
    </row>
    <row r="153" spans="1:49" ht="30" hidden="1" customHeight="1" x14ac:dyDescent="0.3">
      <c r="A153" s="15"/>
      <c r="B153" s="15"/>
      <c r="C153" s="15"/>
      <c r="D153" s="41"/>
      <c r="E153" s="16"/>
      <c r="F153" s="16"/>
      <c r="G153" s="16"/>
      <c r="H153" s="16"/>
      <c r="I153" s="16"/>
      <c r="J153" s="16"/>
      <c r="K153" s="16"/>
      <c r="L153" s="16"/>
      <c r="M153" s="15"/>
      <c r="Q153" s="1" t="s">
        <v>532</v>
      </c>
      <c r="AW153" t="str">
        <f t="shared" si="18"/>
        <v xml:space="preserve"> </v>
      </c>
    </row>
    <row r="154" spans="1:49" ht="30" hidden="1" customHeight="1" x14ac:dyDescent="0.3">
      <c r="A154" s="15"/>
      <c r="B154" s="15"/>
      <c r="C154" s="15"/>
      <c r="D154" s="41"/>
      <c r="E154" s="16"/>
      <c r="F154" s="16"/>
      <c r="G154" s="16"/>
      <c r="H154" s="16"/>
      <c r="I154" s="16"/>
      <c r="J154" s="16"/>
      <c r="K154" s="16"/>
      <c r="L154" s="16"/>
      <c r="M154" s="15"/>
      <c r="Q154" s="1" t="s">
        <v>532</v>
      </c>
      <c r="AW154" t="str">
        <f t="shared" si="18"/>
        <v xml:space="preserve"> </v>
      </c>
    </row>
    <row r="155" spans="1:49" ht="30" hidden="1" customHeight="1" x14ac:dyDescent="0.3">
      <c r="A155" s="15"/>
      <c r="B155" s="15"/>
      <c r="C155" s="15"/>
      <c r="D155" s="41"/>
      <c r="E155" s="16"/>
      <c r="F155" s="16"/>
      <c r="G155" s="16"/>
      <c r="H155" s="16"/>
      <c r="I155" s="16"/>
      <c r="J155" s="16"/>
      <c r="K155" s="16"/>
      <c r="L155" s="16"/>
      <c r="M155" s="15"/>
      <c r="Q155" s="1" t="s">
        <v>532</v>
      </c>
      <c r="AW155" t="str">
        <f t="shared" si="18"/>
        <v xml:space="preserve"> </v>
      </c>
    </row>
    <row r="156" spans="1:49" ht="30" hidden="1" customHeight="1" x14ac:dyDescent="0.3">
      <c r="A156" s="15"/>
      <c r="B156" s="15"/>
      <c r="C156" s="15"/>
      <c r="D156" s="41"/>
      <c r="E156" s="16"/>
      <c r="F156" s="16"/>
      <c r="G156" s="16"/>
      <c r="H156" s="16"/>
      <c r="I156" s="16"/>
      <c r="J156" s="16"/>
      <c r="K156" s="16"/>
      <c r="L156" s="16"/>
      <c r="M156" s="15"/>
      <c r="Q156" s="1" t="s">
        <v>532</v>
      </c>
      <c r="AW156" t="str">
        <f t="shared" si="18"/>
        <v xml:space="preserve"> </v>
      </c>
    </row>
    <row r="157" spans="1:49" ht="30" hidden="1" customHeight="1" x14ac:dyDescent="0.3">
      <c r="A157" s="15"/>
      <c r="B157" s="15"/>
      <c r="C157" s="15"/>
      <c r="D157" s="41"/>
      <c r="E157" s="16"/>
      <c r="F157" s="16"/>
      <c r="G157" s="16"/>
      <c r="H157" s="16"/>
      <c r="I157" s="16"/>
      <c r="J157" s="16"/>
      <c r="K157" s="16"/>
      <c r="L157" s="16"/>
      <c r="M157" s="15"/>
      <c r="Q157" s="1" t="s">
        <v>532</v>
      </c>
      <c r="AW157" t="str">
        <f t="shared" si="18"/>
        <v xml:space="preserve"> </v>
      </c>
    </row>
    <row r="158" spans="1:49" ht="30" hidden="1" customHeight="1" x14ac:dyDescent="0.3">
      <c r="A158" s="15"/>
      <c r="B158" s="15"/>
      <c r="C158" s="15"/>
      <c r="D158" s="41"/>
      <c r="E158" s="16"/>
      <c r="F158" s="16"/>
      <c r="G158" s="16"/>
      <c r="H158" s="16"/>
      <c r="I158" s="16"/>
      <c r="J158" s="16"/>
      <c r="K158" s="16"/>
      <c r="L158" s="16"/>
      <c r="M158" s="15"/>
      <c r="Q158" s="1" t="s">
        <v>532</v>
      </c>
      <c r="AW158" t="str">
        <f t="shared" si="18"/>
        <v xml:space="preserve"> </v>
      </c>
    </row>
    <row r="159" spans="1:49" ht="30" hidden="1" customHeight="1" x14ac:dyDescent="0.3">
      <c r="A159" s="15"/>
      <c r="B159" s="15"/>
      <c r="C159" s="15"/>
      <c r="D159" s="41"/>
      <c r="E159" s="16"/>
      <c r="F159" s="16"/>
      <c r="G159" s="16"/>
      <c r="H159" s="16"/>
      <c r="I159" s="16"/>
      <c r="J159" s="16"/>
      <c r="K159" s="16"/>
      <c r="L159" s="16"/>
      <c r="M159" s="15"/>
      <c r="Q159" s="1" t="s">
        <v>532</v>
      </c>
      <c r="AW159" t="str">
        <f t="shared" si="18"/>
        <v xml:space="preserve"> </v>
      </c>
    </row>
    <row r="160" spans="1:49" ht="30" hidden="1" customHeight="1" x14ac:dyDescent="0.3">
      <c r="A160" s="15"/>
      <c r="B160" s="15"/>
      <c r="C160" s="15"/>
      <c r="D160" s="41"/>
      <c r="E160" s="16"/>
      <c r="F160" s="16"/>
      <c r="G160" s="16"/>
      <c r="H160" s="16"/>
      <c r="I160" s="16"/>
      <c r="J160" s="16"/>
      <c r="K160" s="16"/>
      <c r="L160" s="16"/>
      <c r="M160" s="15"/>
      <c r="Q160" s="1" t="s">
        <v>532</v>
      </c>
      <c r="AW160" t="str">
        <f t="shared" si="18"/>
        <v xml:space="preserve"> </v>
      </c>
    </row>
    <row r="161" spans="1:49" ht="30" hidden="1" customHeight="1" x14ac:dyDescent="0.3">
      <c r="A161" s="15"/>
      <c r="B161" s="15"/>
      <c r="C161" s="15"/>
      <c r="D161" s="41"/>
      <c r="E161" s="16"/>
      <c r="F161" s="16"/>
      <c r="G161" s="16"/>
      <c r="H161" s="16"/>
      <c r="I161" s="16"/>
      <c r="J161" s="16"/>
      <c r="K161" s="16"/>
      <c r="L161" s="16"/>
      <c r="M161" s="15"/>
      <c r="Q161" s="1" t="s">
        <v>532</v>
      </c>
      <c r="AW161" t="str">
        <f t="shared" si="18"/>
        <v xml:space="preserve"> </v>
      </c>
    </row>
    <row r="162" spans="1:49" ht="30" hidden="1" customHeight="1" x14ac:dyDescent="0.3">
      <c r="A162" s="15"/>
      <c r="B162" s="15"/>
      <c r="C162" s="15"/>
      <c r="D162" s="41"/>
      <c r="E162" s="16"/>
      <c r="F162" s="16"/>
      <c r="G162" s="16"/>
      <c r="H162" s="16"/>
      <c r="I162" s="16"/>
      <c r="J162" s="16"/>
      <c r="K162" s="16"/>
      <c r="L162" s="16"/>
      <c r="M162" s="15"/>
      <c r="Q162" s="1" t="s">
        <v>532</v>
      </c>
      <c r="AW162" t="str">
        <f t="shared" si="18"/>
        <v xml:space="preserve"> </v>
      </c>
    </row>
    <row r="163" spans="1:49" ht="30" hidden="1" customHeight="1" x14ac:dyDescent="0.3">
      <c r="A163" s="15"/>
      <c r="B163" s="15"/>
      <c r="C163" s="15"/>
      <c r="D163" s="41"/>
      <c r="E163" s="16"/>
      <c r="F163" s="16"/>
      <c r="G163" s="16"/>
      <c r="H163" s="16"/>
      <c r="I163" s="16"/>
      <c r="J163" s="16"/>
      <c r="K163" s="16"/>
      <c r="L163" s="16"/>
      <c r="M163" s="15"/>
      <c r="Q163" s="1" t="s">
        <v>532</v>
      </c>
      <c r="AW163" t="str">
        <f t="shared" si="18"/>
        <v xml:space="preserve"> </v>
      </c>
    </row>
    <row r="164" spans="1:49" ht="30" hidden="1" customHeight="1" x14ac:dyDescent="0.3">
      <c r="A164" s="15"/>
      <c r="B164" s="15"/>
      <c r="C164" s="15"/>
      <c r="D164" s="41"/>
      <c r="E164" s="16"/>
      <c r="F164" s="16"/>
      <c r="G164" s="16"/>
      <c r="H164" s="16"/>
      <c r="I164" s="16"/>
      <c r="J164" s="16"/>
      <c r="K164" s="16"/>
      <c r="L164" s="16"/>
      <c r="M164" s="15"/>
      <c r="Q164" s="1" t="s">
        <v>532</v>
      </c>
      <c r="AW164" t="str">
        <f t="shared" si="18"/>
        <v xml:space="preserve"> </v>
      </c>
    </row>
    <row r="165" spans="1:49" ht="30" hidden="1" customHeight="1" x14ac:dyDescent="0.3">
      <c r="A165" s="15"/>
      <c r="B165" s="15"/>
      <c r="C165" s="15"/>
      <c r="D165" s="41"/>
      <c r="E165" s="16"/>
      <c r="F165" s="16"/>
      <c r="G165" s="16"/>
      <c r="H165" s="16"/>
      <c r="I165" s="16"/>
      <c r="J165" s="16"/>
      <c r="K165" s="16"/>
      <c r="L165" s="16"/>
      <c r="M165" s="15"/>
      <c r="Q165" s="1" t="s">
        <v>532</v>
      </c>
      <c r="AW165" t="str">
        <f t="shared" si="18"/>
        <v xml:space="preserve"> </v>
      </c>
    </row>
    <row r="166" spans="1:49" ht="30" hidden="1" customHeight="1" x14ac:dyDescent="0.3">
      <c r="A166" s="15"/>
      <c r="B166" s="15"/>
      <c r="C166" s="15"/>
      <c r="D166" s="41"/>
      <c r="E166" s="16"/>
      <c r="F166" s="16"/>
      <c r="G166" s="16"/>
      <c r="H166" s="16"/>
      <c r="I166" s="16"/>
      <c r="J166" s="16"/>
      <c r="K166" s="16"/>
      <c r="L166" s="16"/>
      <c r="M166" s="15"/>
      <c r="Q166" s="1" t="s">
        <v>532</v>
      </c>
      <c r="AW166" t="str">
        <f t="shared" si="18"/>
        <v xml:space="preserve"> </v>
      </c>
    </row>
    <row r="167" spans="1:49" ht="30" hidden="1" customHeight="1" x14ac:dyDescent="0.3">
      <c r="A167" s="17" t="s">
        <v>220</v>
      </c>
      <c r="B167" s="15"/>
      <c r="C167" s="15"/>
      <c r="D167" s="41"/>
      <c r="E167" s="16"/>
      <c r="F167" s="16">
        <f>SUMIF(Q143:Q166,"0103",F143:F166)</f>
        <v>177644</v>
      </c>
      <c r="G167" s="16"/>
      <c r="H167" s="16">
        <f>SUMIF(Q143:Q166,"0103",H143:H166)</f>
        <v>5921479</v>
      </c>
      <c r="I167" s="16"/>
      <c r="J167" s="16">
        <f>SUMIF(Q143:Q166,"0103",J143:J166)</f>
        <v>0</v>
      </c>
      <c r="K167" s="16"/>
      <c r="L167" s="16">
        <f>SUMIF(Q143:Q166,"0103",L143:L166)</f>
        <v>6099123</v>
      </c>
      <c r="M167" s="15"/>
      <c r="N167" t="s">
        <v>221</v>
      </c>
      <c r="AW167" t="str">
        <f t="shared" si="18"/>
        <v xml:space="preserve">[ 합           계 ] 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verticalDpi="0" r:id="rId1"/>
  <rowBreaks count="3" manualBreakCount="3">
    <brk id="63" max="16383" man="1"/>
    <brk id="141" max="16383" man="1"/>
    <brk id="16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166"/>
  <sheetViews>
    <sheetView workbookViewId="0">
      <selection activeCell="F72" sqref="F72"/>
    </sheetView>
  </sheetViews>
  <sheetFormatPr defaultRowHeight="16.5" x14ac:dyDescent="0.3"/>
  <cols>
    <col min="1" max="2" width="30.625" customWidth="1"/>
    <col min="3" max="3" width="4.625" customWidth="1"/>
    <col min="4" max="4" width="8.625" style="42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  <col min="49" max="49" width="65.125" hidden="1" customWidth="1"/>
  </cols>
  <sheetData>
    <row r="1" spans="1:49" ht="30" customHeight="1" x14ac:dyDescent="0.3">
      <c r="A1" s="6" t="str">
        <f>'공종별내역서(소방전기)'!A1</f>
        <v>[ 사옥 이산화탄소 소화설비 교체공사 ]</v>
      </c>
      <c r="B1" s="7"/>
      <c r="C1" s="7"/>
      <c r="D1" s="40"/>
      <c r="E1" s="7"/>
      <c r="F1" s="7"/>
      <c r="G1" s="7"/>
      <c r="H1" s="7"/>
      <c r="I1" s="7"/>
      <c r="J1" s="7"/>
      <c r="K1" s="7"/>
      <c r="L1" s="7"/>
      <c r="M1" s="8"/>
    </row>
    <row r="2" spans="1:49" ht="30" customHeight="1" x14ac:dyDescent="0.3">
      <c r="A2" s="112" t="s">
        <v>2</v>
      </c>
      <c r="B2" s="112" t="s">
        <v>3</v>
      </c>
      <c r="C2" s="112" t="s">
        <v>4</v>
      </c>
      <c r="D2" s="115" t="s">
        <v>5</v>
      </c>
      <c r="E2" s="112" t="s">
        <v>6</v>
      </c>
      <c r="F2" s="112"/>
      <c r="G2" s="112" t="s">
        <v>9</v>
      </c>
      <c r="H2" s="112"/>
      <c r="I2" s="112" t="s">
        <v>10</v>
      </c>
      <c r="J2" s="112"/>
      <c r="K2" s="112" t="s">
        <v>11</v>
      </c>
      <c r="L2" s="112"/>
      <c r="M2" s="112" t="s">
        <v>12</v>
      </c>
      <c r="N2" s="114" t="s">
        <v>20</v>
      </c>
      <c r="O2" s="114" t="s">
        <v>14</v>
      </c>
      <c r="P2" s="114" t="s">
        <v>21</v>
      </c>
      <c r="Q2" s="114" t="s">
        <v>13</v>
      </c>
      <c r="R2" s="114" t="s">
        <v>22</v>
      </c>
      <c r="S2" s="114" t="s">
        <v>23</v>
      </c>
      <c r="T2" s="114" t="s">
        <v>24</v>
      </c>
      <c r="U2" s="114" t="s">
        <v>25</v>
      </c>
      <c r="V2" s="114" t="s">
        <v>26</v>
      </c>
      <c r="W2" s="114" t="s">
        <v>27</v>
      </c>
      <c r="X2" s="114" t="s">
        <v>28</v>
      </c>
      <c r="Y2" s="114" t="s">
        <v>29</v>
      </c>
      <c r="Z2" s="114" t="s">
        <v>30</v>
      </c>
      <c r="AA2" s="114" t="s">
        <v>31</v>
      </c>
      <c r="AB2" s="114" t="s">
        <v>32</v>
      </c>
      <c r="AC2" s="114" t="s">
        <v>33</v>
      </c>
      <c r="AD2" s="114" t="s">
        <v>34</v>
      </c>
      <c r="AE2" s="114" t="s">
        <v>35</v>
      </c>
      <c r="AF2" s="114" t="s">
        <v>36</v>
      </c>
      <c r="AG2" s="114" t="s">
        <v>37</v>
      </c>
      <c r="AH2" s="114" t="s">
        <v>38</v>
      </c>
      <c r="AI2" s="114" t="s">
        <v>39</v>
      </c>
      <c r="AJ2" s="114" t="s">
        <v>40</v>
      </c>
      <c r="AK2" s="114" t="s">
        <v>41</v>
      </c>
      <c r="AL2" s="114" t="s">
        <v>42</v>
      </c>
      <c r="AM2" s="114" t="s">
        <v>43</v>
      </c>
      <c r="AN2" s="114" t="s">
        <v>44</v>
      </c>
      <c r="AO2" s="114" t="s">
        <v>45</v>
      </c>
      <c r="AP2" s="114" t="s">
        <v>46</v>
      </c>
      <c r="AQ2" s="114" t="s">
        <v>47</v>
      </c>
      <c r="AR2" s="114" t="s">
        <v>48</v>
      </c>
      <c r="AS2" s="114" t="s">
        <v>16</v>
      </c>
      <c r="AT2" s="114" t="s">
        <v>17</v>
      </c>
      <c r="AU2" s="114" t="s">
        <v>49</v>
      </c>
      <c r="AV2" s="114" t="s">
        <v>50</v>
      </c>
    </row>
    <row r="3" spans="1:49" ht="30" customHeight="1" x14ac:dyDescent="0.3">
      <c r="A3" s="112"/>
      <c r="B3" s="112"/>
      <c r="C3" s="112"/>
      <c r="D3" s="115"/>
      <c r="E3" s="10" t="s">
        <v>7</v>
      </c>
      <c r="F3" s="10" t="s">
        <v>8</v>
      </c>
      <c r="G3" s="10" t="s">
        <v>7</v>
      </c>
      <c r="H3" s="10" t="s">
        <v>8</v>
      </c>
      <c r="I3" s="10" t="s">
        <v>7</v>
      </c>
      <c r="J3" s="10" t="s">
        <v>8</v>
      </c>
      <c r="K3" s="10" t="s">
        <v>7</v>
      </c>
      <c r="L3" s="10" t="s">
        <v>8</v>
      </c>
      <c r="M3" s="112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114"/>
      <c r="AN3" s="114"/>
      <c r="AO3" s="114"/>
      <c r="AP3" s="114"/>
      <c r="AQ3" s="114"/>
      <c r="AR3" s="114"/>
      <c r="AS3" s="114"/>
      <c r="AT3" s="114"/>
      <c r="AU3" s="114"/>
      <c r="AV3" s="114"/>
    </row>
    <row r="4" spans="1:49" ht="30" hidden="1" customHeight="1" x14ac:dyDescent="0.3">
      <c r="A4" s="17" t="s">
        <v>53</v>
      </c>
      <c r="B4" s="17" t="s">
        <v>51</v>
      </c>
      <c r="C4" s="15"/>
      <c r="D4" s="41"/>
      <c r="E4" s="16"/>
      <c r="F4" s="16"/>
      <c r="G4" s="16"/>
      <c r="H4" s="16"/>
      <c r="I4" s="16"/>
      <c r="J4" s="16"/>
      <c r="K4" s="16"/>
      <c r="L4" s="16"/>
      <c r="M4" s="15"/>
      <c r="N4" s="3"/>
      <c r="O4" s="3"/>
      <c r="P4" s="3"/>
      <c r="Q4" s="2" t="s">
        <v>54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9" ht="30" hidden="1" customHeight="1" x14ac:dyDescent="0.3">
      <c r="A5" s="17" t="s">
        <v>55</v>
      </c>
      <c r="B5" s="17" t="s">
        <v>56</v>
      </c>
      <c r="C5" s="17" t="s">
        <v>57</v>
      </c>
      <c r="D5" s="41">
        <v>40</v>
      </c>
      <c r="E5" s="16">
        <f>TRUNC(일위대가목록!E18,0)</f>
        <v>0</v>
      </c>
      <c r="F5" s="16">
        <f t="shared" ref="F5:F46" si="0">TRUNC(E5*D5, 0)</f>
        <v>0</v>
      </c>
      <c r="G5" s="16">
        <f>TRUNC(일위대가목록!F18,0)</f>
        <v>0</v>
      </c>
      <c r="H5" s="16">
        <f t="shared" ref="H5:H45" si="1">TRUNC(G5*D5, 0)</f>
        <v>0</v>
      </c>
      <c r="I5" s="16">
        <f>TRUNC(일위대가목록!G18,0)</f>
        <v>0</v>
      </c>
      <c r="J5" s="16">
        <f t="shared" ref="J5:J45" si="2">TRUNC(I5*D5, 0)</f>
        <v>0</v>
      </c>
      <c r="K5" s="16">
        <f t="shared" ref="K5:L45" si="3">TRUNC(E5+G5+I5, 0)</f>
        <v>0</v>
      </c>
      <c r="L5" s="16">
        <f t="shared" si="3"/>
        <v>0</v>
      </c>
      <c r="M5" s="17" t="s">
        <v>58</v>
      </c>
      <c r="N5" s="2" t="s">
        <v>59</v>
      </c>
      <c r="O5" s="2" t="s">
        <v>51</v>
      </c>
      <c r="P5" s="2" t="s">
        <v>51</v>
      </c>
      <c r="Q5" s="2" t="s">
        <v>54</v>
      </c>
      <c r="R5" s="2" t="s">
        <v>60</v>
      </c>
      <c r="S5" s="2" t="s">
        <v>61</v>
      </c>
      <c r="T5" s="2" t="s">
        <v>61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51</v>
      </c>
      <c r="AS5" s="2" t="s">
        <v>51</v>
      </c>
      <c r="AT5" s="3"/>
      <c r="AU5" s="2" t="s">
        <v>62</v>
      </c>
      <c r="AV5" s="3">
        <v>21</v>
      </c>
      <c r="AW5" t="str">
        <f>CONCATENATE(A5," ",B5)</f>
        <v>450/75OV 저독성난연가교폴리올레핀절연전선(HFIX) 1.38㎜</v>
      </c>
    </row>
    <row r="6" spans="1:49" ht="30" hidden="1" customHeight="1" x14ac:dyDescent="0.3">
      <c r="A6" s="17" t="s">
        <v>55</v>
      </c>
      <c r="B6" s="34" t="s">
        <v>1255</v>
      </c>
      <c r="C6" s="17" t="s">
        <v>57</v>
      </c>
      <c r="D6" s="41">
        <f>ROUNDDOWN(D5*0.1,0)</f>
        <v>4</v>
      </c>
      <c r="E6" s="16">
        <f>TRUNC(일위대가목록!E18,0)</f>
        <v>0</v>
      </c>
      <c r="F6" s="16">
        <f t="shared" si="0"/>
        <v>0</v>
      </c>
      <c r="G6" s="16">
        <f>TRUNC(일위대가목록!F19,0)</f>
        <v>0</v>
      </c>
      <c r="H6" s="16">
        <f t="shared" si="1"/>
        <v>0</v>
      </c>
      <c r="I6" s="16">
        <f>TRUNC(일위대가목록!G19,0)</f>
        <v>0</v>
      </c>
      <c r="J6" s="16">
        <f t="shared" si="2"/>
        <v>0</v>
      </c>
      <c r="K6" s="16">
        <f t="shared" si="3"/>
        <v>0</v>
      </c>
      <c r="L6" s="16">
        <f t="shared" si="3"/>
        <v>0</v>
      </c>
      <c r="M6" s="17" t="s">
        <v>58</v>
      </c>
      <c r="N6" s="2" t="s">
        <v>59</v>
      </c>
      <c r="O6" s="2" t="s">
        <v>51</v>
      </c>
      <c r="P6" s="2" t="s">
        <v>51</v>
      </c>
      <c r="Q6" s="2" t="s">
        <v>54</v>
      </c>
      <c r="R6" s="2" t="s">
        <v>60</v>
      </c>
      <c r="S6" s="2" t="s">
        <v>61</v>
      </c>
      <c r="T6" s="2" t="s">
        <v>61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51</v>
      </c>
      <c r="AS6" s="2" t="s">
        <v>51</v>
      </c>
      <c r="AT6" s="3"/>
      <c r="AU6" s="2" t="s">
        <v>62</v>
      </c>
      <c r="AV6" s="3">
        <v>21</v>
      </c>
      <c r="AW6" t="str">
        <f t="shared" ref="AW6:AW69" si="4">CONCATENATE(A6," ",B6)</f>
        <v>450/75OV 저독성난연가교폴리올레핀절연전선(HFIX) HFIX, 1.38㎜ (할증분 10%)</v>
      </c>
    </row>
    <row r="7" spans="1:49" ht="30" hidden="1" customHeight="1" x14ac:dyDescent="0.3">
      <c r="A7" s="17" t="s">
        <v>55</v>
      </c>
      <c r="B7" s="17" t="s">
        <v>63</v>
      </c>
      <c r="C7" s="17" t="s">
        <v>57</v>
      </c>
      <c r="D7" s="41">
        <v>2548</v>
      </c>
      <c r="E7" s="16">
        <f>TRUNC(일위대가목록!E19,0)</f>
        <v>0</v>
      </c>
      <c r="F7" s="16">
        <f t="shared" si="0"/>
        <v>0</v>
      </c>
      <c r="G7" s="16">
        <f>TRUNC(일위대가목록!F18,0)</f>
        <v>0</v>
      </c>
      <c r="H7" s="16">
        <f t="shared" si="1"/>
        <v>0</v>
      </c>
      <c r="I7" s="16">
        <f>TRUNC(일위대가목록!G18,0)</f>
        <v>0</v>
      </c>
      <c r="J7" s="16">
        <f t="shared" si="2"/>
        <v>0</v>
      </c>
      <c r="K7" s="16">
        <f t="shared" si="3"/>
        <v>0</v>
      </c>
      <c r="L7" s="16">
        <f t="shared" si="3"/>
        <v>0</v>
      </c>
      <c r="M7" s="17" t="s">
        <v>64</v>
      </c>
      <c r="N7" s="2" t="s">
        <v>65</v>
      </c>
      <c r="O7" s="2" t="s">
        <v>51</v>
      </c>
      <c r="P7" s="2" t="s">
        <v>51</v>
      </c>
      <c r="Q7" s="2" t="s">
        <v>54</v>
      </c>
      <c r="R7" s="2" t="s">
        <v>60</v>
      </c>
      <c r="S7" s="2" t="s">
        <v>61</v>
      </c>
      <c r="T7" s="2" t="s">
        <v>61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51</v>
      </c>
      <c r="AS7" s="2" t="s">
        <v>51</v>
      </c>
      <c r="AT7" s="3"/>
      <c r="AU7" s="2" t="s">
        <v>66</v>
      </c>
      <c r="AV7" s="3">
        <v>22</v>
      </c>
      <c r="AW7" t="str">
        <f t="shared" si="4"/>
        <v>450/75OV 저독성난연가교폴리올레핀절연전선(HFIX) 1.78㎜</v>
      </c>
    </row>
    <row r="8" spans="1:49" ht="30" hidden="1" customHeight="1" x14ac:dyDescent="0.3">
      <c r="A8" s="17" t="s">
        <v>55</v>
      </c>
      <c r="B8" s="34" t="s">
        <v>1302</v>
      </c>
      <c r="C8" s="17" t="s">
        <v>57</v>
      </c>
      <c r="D8" s="41">
        <f>ROUNDDOWN(D7*0.1,0)</f>
        <v>254</v>
      </c>
      <c r="E8" s="16">
        <f>TRUNC(일위대가목록!E19,0)</f>
        <v>0</v>
      </c>
      <c r="F8" s="16">
        <f t="shared" si="0"/>
        <v>0</v>
      </c>
      <c r="G8" s="16">
        <f>TRUNC(일위대가목록!F19,0)</f>
        <v>0</v>
      </c>
      <c r="H8" s="16">
        <f t="shared" si="1"/>
        <v>0</v>
      </c>
      <c r="I8" s="16">
        <f>TRUNC(일위대가목록!G19,0)</f>
        <v>0</v>
      </c>
      <c r="J8" s="16">
        <f t="shared" si="2"/>
        <v>0</v>
      </c>
      <c r="K8" s="16">
        <f t="shared" si="3"/>
        <v>0</v>
      </c>
      <c r="L8" s="16">
        <f t="shared" si="3"/>
        <v>0</v>
      </c>
      <c r="M8" s="17" t="s">
        <v>64</v>
      </c>
      <c r="N8" s="2" t="s">
        <v>65</v>
      </c>
      <c r="O8" s="2" t="s">
        <v>51</v>
      </c>
      <c r="P8" s="2" t="s">
        <v>51</v>
      </c>
      <c r="Q8" s="2" t="s">
        <v>54</v>
      </c>
      <c r="R8" s="2" t="s">
        <v>60</v>
      </c>
      <c r="S8" s="2" t="s">
        <v>61</v>
      </c>
      <c r="T8" s="2" t="s">
        <v>61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51</v>
      </c>
      <c r="AS8" s="2" t="s">
        <v>51</v>
      </c>
      <c r="AT8" s="3"/>
      <c r="AU8" s="2" t="s">
        <v>66</v>
      </c>
      <c r="AV8" s="3">
        <v>22</v>
      </c>
      <c r="AW8" t="str">
        <f t="shared" si="4"/>
        <v>450/75OV 저독성난연가교폴리올레핀절연전선(HFIX) HFIX, 1.78㎜(할증분 10%)</v>
      </c>
    </row>
    <row r="9" spans="1:49" ht="30" hidden="1" customHeight="1" x14ac:dyDescent="0.3">
      <c r="A9" s="17" t="s">
        <v>67</v>
      </c>
      <c r="B9" s="17" t="s">
        <v>68</v>
      </c>
      <c r="C9" s="17" t="s">
        <v>57</v>
      </c>
      <c r="D9" s="41">
        <v>10</v>
      </c>
      <c r="E9" s="16">
        <f>TRUNC(일위대가목록!E20,0)</f>
        <v>0</v>
      </c>
      <c r="F9" s="16">
        <f t="shared" si="0"/>
        <v>0</v>
      </c>
      <c r="G9" s="16">
        <f>TRUNC(일위대가목록!F20,0)</f>
        <v>0</v>
      </c>
      <c r="H9" s="16">
        <f t="shared" si="1"/>
        <v>0</v>
      </c>
      <c r="I9" s="16">
        <f>TRUNC(일위대가목록!G20,0)</f>
        <v>0</v>
      </c>
      <c r="J9" s="16">
        <f t="shared" si="2"/>
        <v>0</v>
      </c>
      <c r="K9" s="16">
        <f t="shared" si="3"/>
        <v>0</v>
      </c>
      <c r="L9" s="16">
        <f t="shared" si="3"/>
        <v>0</v>
      </c>
      <c r="M9" s="17" t="s">
        <v>69</v>
      </c>
      <c r="N9" s="2" t="s">
        <v>70</v>
      </c>
      <c r="O9" s="2" t="s">
        <v>51</v>
      </c>
      <c r="P9" s="2" t="s">
        <v>51</v>
      </c>
      <c r="Q9" s="2" t="s">
        <v>54</v>
      </c>
      <c r="R9" s="2" t="s">
        <v>60</v>
      </c>
      <c r="S9" s="2" t="s">
        <v>61</v>
      </c>
      <c r="T9" s="2" t="s">
        <v>61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51</v>
      </c>
      <c r="AS9" s="2" t="s">
        <v>51</v>
      </c>
      <c r="AT9" s="3"/>
      <c r="AU9" s="2" t="s">
        <v>71</v>
      </c>
      <c r="AV9" s="3">
        <v>23</v>
      </c>
      <c r="AW9" t="str">
        <f t="shared" si="4"/>
        <v>0.6/1kV 내화 케이블 (F-FR-8) 3C 2.5㎟</v>
      </c>
    </row>
    <row r="10" spans="1:49" ht="30" hidden="1" customHeight="1" x14ac:dyDescent="0.3">
      <c r="A10" s="17" t="s">
        <v>67</v>
      </c>
      <c r="B10" s="34" t="s">
        <v>1306</v>
      </c>
      <c r="C10" s="17" t="s">
        <v>57</v>
      </c>
      <c r="D10" s="41">
        <f>ROUNDDOWN(D9*0.1,0)</f>
        <v>1</v>
      </c>
      <c r="E10" s="16">
        <f>TRUNC(일위대가목록!E20,0)</f>
        <v>0</v>
      </c>
      <c r="F10" s="16">
        <f t="shared" si="0"/>
        <v>0</v>
      </c>
      <c r="G10" s="16">
        <f>TRUNC(일위대가목록!F20,0)</f>
        <v>0</v>
      </c>
      <c r="H10" s="16">
        <f t="shared" si="1"/>
        <v>0</v>
      </c>
      <c r="I10" s="16">
        <f>TRUNC(일위대가목록!G21,0)</f>
        <v>0</v>
      </c>
      <c r="J10" s="16">
        <f t="shared" si="2"/>
        <v>0</v>
      </c>
      <c r="K10" s="16">
        <f t="shared" si="3"/>
        <v>0</v>
      </c>
      <c r="L10" s="16">
        <f t="shared" si="3"/>
        <v>0</v>
      </c>
      <c r="M10" s="17" t="s">
        <v>69</v>
      </c>
      <c r="N10" s="2" t="s">
        <v>70</v>
      </c>
      <c r="O10" s="2" t="s">
        <v>51</v>
      </c>
      <c r="P10" s="2" t="s">
        <v>51</v>
      </c>
      <c r="Q10" s="2" t="s">
        <v>54</v>
      </c>
      <c r="R10" s="2" t="s">
        <v>60</v>
      </c>
      <c r="S10" s="2" t="s">
        <v>61</v>
      </c>
      <c r="T10" s="2" t="s">
        <v>61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51</v>
      </c>
      <c r="AS10" s="2" t="s">
        <v>51</v>
      </c>
      <c r="AT10" s="3"/>
      <c r="AU10" s="2" t="s">
        <v>71</v>
      </c>
      <c r="AV10" s="3">
        <v>23</v>
      </c>
      <c r="AW10" t="str">
        <f t="shared" si="4"/>
        <v>0.6/1kV 내화 케이블 (F-FR-8) 3C*2.5㎟ (할증분 5%)</v>
      </c>
    </row>
    <row r="11" spans="1:49" ht="30" hidden="1" customHeight="1" x14ac:dyDescent="0.3">
      <c r="A11" s="17" t="s">
        <v>72</v>
      </c>
      <c r="B11" s="17" t="s">
        <v>73</v>
      </c>
      <c r="C11" s="17" t="s">
        <v>74</v>
      </c>
      <c r="D11" s="41">
        <v>66</v>
      </c>
      <c r="E11" s="16">
        <f>TRUNC(일위대가목록!E11,0)</f>
        <v>0</v>
      </c>
      <c r="F11" s="16">
        <f t="shared" si="0"/>
        <v>0</v>
      </c>
      <c r="G11" s="16">
        <f>TRUNC(일위대가목록!F11,0)</f>
        <v>0</v>
      </c>
      <c r="H11" s="16">
        <f t="shared" si="1"/>
        <v>0</v>
      </c>
      <c r="I11" s="16">
        <f>TRUNC(일위대가목록!G11,0)</f>
        <v>0</v>
      </c>
      <c r="J11" s="16">
        <f t="shared" si="2"/>
        <v>0</v>
      </c>
      <c r="K11" s="16">
        <f t="shared" si="3"/>
        <v>0</v>
      </c>
      <c r="L11" s="16">
        <f t="shared" si="3"/>
        <v>0</v>
      </c>
      <c r="M11" s="17" t="s">
        <v>75</v>
      </c>
      <c r="N11" s="2" t="s">
        <v>76</v>
      </c>
      <c r="O11" s="2" t="s">
        <v>51</v>
      </c>
      <c r="P11" s="2" t="s">
        <v>51</v>
      </c>
      <c r="Q11" s="2" t="s">
        <v>54</v>
      </c>
      <c r="R11" s="2" t="s">
        <v>60</v>
      </c>
      <c r="S11" s="2" t="s">
        <v>61</v>
      </c>
      <c r="T11" s="2" t="s">
        <v>61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2" t="s">
        <v>51</v>
      </c>
      <c r="AS11" s="2" t="s">
        <v>51</v>
      </c>
      <c r="AT11" s="3"/>
      <c r="AU11" s="2" t="s">
        <v>77</v>
      </c>
      <c r="AV11" s="3">
        <v>14</v>
      </c>
      <c r="AW11" t="str">
        <f t="shared" si="4"/>
        <v>강제 전선관 아연도  16 mm</v>
      </c>
    </row>
    <row r="12" spans="1:49" ht="30" hidden="1" customHeight="1" x14ac:dyDescent="0.3">
      <c r="A12" s="17" t="s">
        <v>72</v>
      </c>
      <c r="B12" s="17" t="s">
        <v>1307</v>
      </c>
      <c r="C12" s="17" t="s">
        <v>74</v>
      </c>
      <c r="D12" s="41">
        <f>ROUNDDOWN(D11*0.1,0)</f>
        <v>6</v>
      </c>
      <c r="E12" s="16">
        <f>TRUNC(일위대가목록!E11,0)</f>
        <v>0</v>
      </c>
      <c r="F12" s="16">
        <f t="shared" si="0"/>
        <v>0</v>
      </c>
      <c r="G12" s="16">
        <f>TRUNC(일위대가목록!F11,0)</f>
        <v>0</v>
      </c>
      <c r="H12" s="16">
        <f t="shared" si="1"/>
        <v>0</v>
      </c>
      <c r="I12" s="16">
        <f>TRUNC(일위대가목록!G12,0)</f>
        <v>0</v>
      </c>
      <c r="J12" s="16">
        <f t="shared" si="2"/>
        <v>0</v>
      </c>
      <c r="K12" s="16">
        <f t="shared" si="3"/>
        <v>0</v>
      </c>
      <c r="L12" s="16">
        <f t="shared" si="3"/>
        <v>0</v>
      </c>
      <c r="M12" s="17" t="s">
        <v>75</v>
      </c>
      <c r="N12" s="2" t="s">
        <v>76</v>
      </c>
      <c r="O12" s="2" t="s">
        <v>51</v>
      </c>
      <c r="P12" s="2" t="s">
        <v>51</v>
      </c>
      <c r="Q12" s="2" t="s">
        <v>54</v>
      </c>
      <c r="R12" s="2" t="s">
        <v>60</v>
      </c>
      <c r="S12" s="2" t="s">
        <v>61</v>
      </c>
      <c r="T12" s="2" t="s">
        <v>61</v>
      </c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2" t="s">
        <v>51</v>
      </c>
      <c r="AS12" s="2" t="s">
        <v>51</v>
      </c>
      <c r="AT12" s="3"/>
      <c r="AU12" s="2" t="s">
        <v>77</v>
      </c>
      <c r="AV12" s="3">
        <v>14</v>
      </c>
      <c r="AW12" t="str">
        <f t="shared" si="4"/>
        <v>강제 전선관 아연도  16 mm(할증분 10%)</v>
      </c>
    </row>
    <row r="13" spans="1:49" ht="30" hidden="1" customHeight="1" x14ac:dyDescent="0.3">
      <c r="A13" s="17" t="s">
        <v>72</v>
      </c>
      <c r="B13" s="17" t="s">
        <v>78</v>
      </c>
      <c r="C13" s="17" t="s">
        <v>74</v>
      </c>
      <c r="D13" s="41">
        <v>259</v>
      </c>
      <c r="E13" s="16">
        <f>TRUNC(일위대가목록!E12,0)</f>
        <v>0</v>
      </c>
      <c r="F13" s="16">
        <f t="shared" si="0"/>
        <v>0</v>
      </c>
      <c r="G13" s="16">
        <f>TRUNC(일위대가목록!F12,0)</f>
        <v>0</v>
      </c>
      <c r="H13" s="16">
        <f t="shared" si="1"/>
        <v>0</v>
      </c>
      <c r="I13" s="16">
        <f>TRUNC(일위대가목록!G11,0)</f>
        <v>0</v>
      </c>
      <c r="J13" s="16">
        <f t="shared" si="2"/>
        <v>0</v>
      </c>
      <c r="K13" s="16">
        <f t="shared" si="3"/>
        <v>0</v>
      </c>
      <c r="L13" s="16">
        <f t="shared" si="3"/>
        <v>0</v>
      </c>
      <c r="M13" s="17" t="s">
        <v>79</v>
      </c>
      <c r="N13" s="2" t="s">
        <v>80</v>
      </c>
      <c r="O13" s="2" t="s">
        <v>51</v>
      </c>
      <c r="P13" s="2" t="s">
        <v>51</v>
      </c>
      <c r="Q13" s="2" t="s">
        <v>54</v>
      </c>
      <c r="R13" s="2" t="s">
        <v>60</v>
      </c>
      <c r="S13" s="2" t="s">
        <v>61</v>
      </c>
      <c r="T13" s="2" t="s">
        <v>61</v>
      </c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2" t="s">
        <v>51</v>
      </c>
      <c r="AS13" s="2" t="s">
        <v>51</v>
      </c>
      <c r="AT13" s="3"/>
      <c r="AU13" s="2" t="s">
        <v>81</v>
      </c>
      <c r="AV13" s="3">
        <v>15</v>
      </c>
      <c r="AW13" t="str">
        <f t="shared" si="4"/>
        <v>강제 전선관 아연도  22 mm</v>
      </c>
    </row>
    <row r="14" spans="1:49" ht="30" hidden="1" customHeight="1" x14ac:dyDescent="0.3">
      <c r="A14" s="17" t="s">
        <v>72</v>
      </c>
      <c r="B14" s="17" t="s">
        <v>1308</v>
      </c>
      <c r="C14" s="17" t="s">
        <v>74</v>
      </c>
      <c r="D14" s="41">
        <f>ROUNDDOWN(D13*0.1,0)</f>
        <v>25</v>
      </c>
      <c r="E14" s="16">
        <f>TRUNC(일위대가목록!E12,0)</f>
        <v>0</v>
      </c>
      <c r="F14" s="16">
        <f t="shared" si="0"/>
        <v>0</v>
      </c>
      <c r="G14" s="16">
        <f>TRUNC(일위대가목록!F12,0)</f>
        <v>0</v>
      </c>
      <c r="H14" s="16">
        <f t="shared" si="1"/>
        <v>0</v>
      </c>
      <c r="I14" s="16">
        <f>TRUNC(일위대가목록!G12,0)</f>
        <v>0</v>
      </c>
      <c r="J14" s="16">
        <f t="shared" si="2"/>
        <v>0</v>
      </c>
      <c r="K14" s="16">
        <f t="shared" si="3"/>
        <v>0</v>
      </c>
      <c r="L14" s="16">
        <f t="shared" si="3"/>
        <v>0</v>
      </c>
      <c r="M14" s="17" t="s">
        <v>79</v>
      </c>
      <c r="N14" s="2" t="s">
        <v>80</v>
      </c>
      <c r="O14" s="2" t="s">
        <v>51</v>
      </c>
      <c r="P14" s="2" t="s">
        <v>51</v>
      </c>
      <c r="Q14" s="2" t="s">
        <v>54</v>
      </c>
      <c r="R14" s="2" t="s">
        <v>60</v>
      </c>
      <c r="S14" s="2" t="s">
        <v>61</v>
      </c>
      <c r="T14" s="2" t="s">
        <v>61</v>
      </c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2" t="s">
        <v>51</v>
      </c>
      <c r="AS14" s="2" t="s">
        <v>51</v>
      </c>
      <c r="AT14" s="3"/>
      <c r="AU14" s="2" t="s">
        <v>81</v>
      </c>
      <c r="AV14" s="3">
        <v>15</v>
      </c>
      <c r="AW14" t="str">
        <f t="shared" si="4"/>
        <v>강제 전선관 아연도  22 mm(할증분 10%)</v>
      </c>
    </row>
    <row r="15" spans="1:49" ht="30" hidden="1" customHeight="1" x14ac:dyDescent="0.3">
      <c r="A15" s="17" t="s">
        <v>72</v>
      </c>
      <c r="B15" s="17" t="s">
        <v>82</v>
      </c>
      <c r="C15" s="17" t="s">
        <v>74</v>
      </c>
      <c r="D15" s="41">
        <v>131</v>
      </c>
      <c r="E15" s="16">
        <f>TRUNC(일위대가목록!E13,0)</f>
        <v>0</v>
      </c>
      <c r="F15" s="16">
        <f t="shared" si="0"/>
        <v>0</v>
      </c>
      <c r="G15" s="16">
        <f>TRUNC(일위대가목록!F13,0)</f>
        <v>0</v>
      </c>
      <c r="H15" s="16">
        <f t="shared" si="1"/>
        <v>0</v>
      </c>
      <c r="I15" s="16">
        <f>TRUNC(일위대가목록!G13,0)</f>
        <v>0</v>
      </c>
      <c r="J15" s="16">
        <f t="shared" si="2"/>
        <v>0</v>
      </c>
      <c r="K15" s="16">
        <f t="shared" si="3"/>
        <v>0</v>
      </c>
      <c r="L15" s="16">
        <f t="shared" si="3"/>
        <v>0</v>
      </c>
      <c r="M15" s="17" t="s">
        <v>83</v>
      </c>
      <c r="N15" s="2" t="s">
        <v>84</v>
      </c>
      <c r="O15" s="2" t="s">
        <v>51</v>
      </c>
      <c r="P15" s="2" t="s">
        <v>51</v>
      </c>
      <c r="Q15" s="2" t="s">
        <v>54</v>
      </c>
      <c r="R15" s="2" t="s">
        <v>60</v>
      </c>
      <c r="S15" s="2" t="s">
        <v>61</v>
      </c>
      <c r="T15" s="2" t="s">
        <v>61</v>
      </c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2" t="s">
        <v>51</v>
      </c>
      <c r="AS15" s="2" t="s">
        <v>51</v>
      </c>
      <c r="AT15" s="3"/>
      <c r="AU15" s="2" t="s">
        <v>85</v>
      </c>
      <c r="AV15" s="3">
        <v>16</v>
      </c>
      <c r="AW15" t="str">
        <f t="shared" si="4"/>
        <v>강제 전선관 아연도  28 mm</v>
      </c>
    </row>
    <row r="16" spans="1:49" ht="30" hidden="1" customHeight="1" x14ac:dyDescent="0.3">
      <c r="A16" s="17" t="s">
        <v>72</v>
      </c>
      <c r="B16" s="17" t="s">
        <v>1309</v>
      </c>
      <c r="C16" s="17" t="s">
        <v>74</v>
      </c>
      <c r="D16" s="41">
        <f>ROUNDDOWN(D15*0.1,0)</f>
        <v>13</v>
      </c>
      <c r="E16" s="16">
        <f>TRUNC(일위대가목록!E13,0)</f>
        <v>0</v>
      </c>
      <c r="F16" s="16">
        <f t="shared" si="0"/>
        <v>0</v>
      </c>
      <c r="G16" s="16">
        <f>TRUNC(일위대가목록!F13,0)</f>
        <v>0</v>
      </c>
      <c r="H16" s="16">
        <f t="shared" si="1"/>
        <v>0</v>
      </c>
      <c r="I16" s="16">
        <f>TRUNC(일위대가목록!G14,0)</f>
        <v>0</v>
      </c>
      <c r="J16" s="16">
        <f t="shared" si="2"/>
        <v>0</v>
      </c>
      <c r="K16" s="16">
        <f t="shared" si="3"/>
        <v>0</v>
      </c>
      <c r="L16" s="16">
        <f t="shared" si="3"/>
        <v>0</v>
      </c>
      <c r="M16" s="17" t="s">
        <v>83</v>
      </c>
      <c r="N16" s="2" t="s">
        <v>84</v>
      </c>
      <c r="O16" s="2" t="s">
        <v>51</v>
      </c>
      <c r="P16" s="2" t="s">
        <v>51</v>
      </c>
      <c r="Q16" s="2" t="s">
        <v>54</v>
      </c>
      <c r="R16" s="2" t="s">
        <v>60</v>
      </c>
      <c r="S16" s="2" t="s">
        <v>61</v>
      </c>
      <c r="T16" s="2" t="s">
        <v>61</v>
      </c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2" t="s">
        <v>51</v>
      </c>
      <c r="AS16" s="2" t="s">
        <v>51</v>
      </c>
      <c r="AT16" s="3"/>
      <c r="AU16" s="2" t="s">
        <v>85</v>
      </c>
      <c r="AV16" s="3">
        <v>16</v>
      </c>
      <c r="AW16" t="str">
        <f t="shared" si="4"/>
        <v>강제 전선관 아연도  28 mm(할증분 10%)</v>
      </c>
    </row>
    <row r="17" spans="1:49" ht="30" hidden="1" customHeight="1" x14ac:dyDescent="0.3">
      <c r="A17" s="17" t="s">
        <v>86</v>
      </c>
      <c r="B17" s="17" t="s">
        <v>87</v>
      </c>
      <c r="C17" s="17" t="s">
        <v>74</v>
      </c>
      <c r="D17" s="41">
        <v>10</v>
      </c>
      <c r="E17" s="16">
        <f>TRUNC(일위대가목록!E14,0)</f>
        <v>0</v>
      </c>
      <c r="F17" s="16">
        <f t="shared" si="0"/>
        <v>0</v>
      </c>
      <c r="G17" s="16">
        <f>TRUNC(일위대가목록!F14,0)</f>
        <v>0</v>
      </c>
      <c r="H17" s="16">
        <f t="shared" si="1"/>
        <v>0</v>
      </c>
      <c r="I17" s="16">
        <f>TRUNC(일위대가목록!G14,0)</f>
        <v>0</v>
      </c>
      <c r="J17" s="16">
        <f t="shared" si="2"/>
        <v>0</v>
      </c>
      <c r="K17" s="16">
        <f t="shared" si="3"/>
        <v>0</v>
      </c>
      <c r="L17" s="16">
        <f t="shared" si="3"/>
        <v>0</v>
      </c>
      <c r="M17" s="17" t="s">
        <v>88</v>
      </c>
      <c r="N17" s="2" t="s">
        <v>89</v>
      </c>
      <c r="O17" s="2" t="s">
        <v>51</v>
      </c>
      <c r="P17" s="2" t="s">
        <v>51</v>
      </c>
      <c r="Q17" s="2" t="s">
        <v>54</v>
      </c>
      <c r="R17" s="2" t="s">
        <v>60</v>
      </c>
      <c r="S17" s="2" t="s">
        <v>61</v>
      </c>
      <c r="T17" s="2" t="s">
        <v>61</v>
      </c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2" t="s">
        <v>51</v>
      </c>
      <c r="AS17" s="2" t="s">
        <v>51</v>
      </c>
      <c r="AT17" s="3"/>
      <c r="AU17" s="2" t="s">
        <v>90</v>
      </c>
      <c r="AV17" s="3">
        <v>17</v>
      </c>
      <c r="AW17" t="str">
        <f t="shared" si="4"/>
        <v>1종금속제가요전선관 16 mm 비방수</v>
      </c>
    </row>
    <row r="18" spans="1:49" ht="30" hidden="1" customHeight="1" x14ac:dyDescent="0.3">
      <c r="A18" s="17" t="s">
        <v>86</v>
      </c>
      <c r="B18" s="17" t="s">
        <v>1310</v>
      </c>
      <c r="C18" s="17" t="s">
        <v>74</v>
      </c>
      <c r="D18" s="41">
        <f>ROUNDDOWN(D17*0.1,0)</f>
        <v>1</v>
      </c>
      <c r="E18" s="16">
        <f>TRUNC(일위대가목록!E14,0)</f>
        <v>0</v>
      </c>
      <c r="F18" s="16">
        <f t="shared" si="0"/>
        <v>0</v>
      </c>
      <c r="G18" s="16">
        <f>TRUNC(일위대가목록!F14,0)</f>
        <v>0</v>
      </c>
      <c r="H18" s="16">
        <f t="shared" si="1"/>
        <v>0</v>
      </c>
      <c r="I18" s="16">
        <f>TRUNC(일위대가목록!G15,0)</f>
        <v>0</v>
      </c>
      <c r="J18" s="16">
        <f t="shared" si="2"/>
        <v>0</v>
      </c>
      <c r="K18" s="16">
        <f t="shared" si="3"/>
        <v>0</v>
      </c>
      <c r="L18" s="16">
        <f t="shared" si="3"/>
        <v>0</v>
      </c>
      <c r="M18" s="17" t="s">
        <v>88</v>
      </c>
      <c r="N18" s="2" t="s">
        <v>89</v>
      </c>
      <c r="O18" s="2" t="s">
        <v>51</v>
      </c>
      <c r="P18" s="2" t="s">
        <v>51</v>
      </c>
      <c r="Q18" s="2" t="s">
        <v>54</v>
      </c>
      <c r="R18" s="2" t="s">
        <v>60</v>
      </c>
      <c r="S18" s="2" t="s">
        <v>61</v>
      </c>
      <c r="T18" s="2" t="s">
        <v>61</v>
      </c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2" t="s">
        <v>51</v>
      </c>
      <c r="AS18" s="2" t="s">
        <v>51</v>
      </c>
      <c r="AT18" s="3"/>
      <c r="AU18" s="2" t="s">
        <v>90</v>
      </c>
      <c r="AV18" s="3">
        <v>17</v>
      </c>
      <c r="AW18" t="str">
        <f t="shared" si="4"/>
        <v>1종금속제가요전선관 16 mm 비방수(할증분 10%)</v>
      </c>
    </row>
    <row r="19" spans="1:49" ht="30" hidden="1" customHeight="1" x14ac:dyDescent="0.3">
      <c r="A19" s="17" t="s">
        <v>91</v>
      </c>
      <c r="B19" s="17" t="s">
        <v>92</v>
      </c>
      <c r="C19" s="17" t="s">
        <v>1311</v>
      </c>
      <c r="D19" s="41">
        <f>'산출조사서(소방전기)'!L47+'산출조사서(소방전기)'!L50+'산출조사서(소방전기)'!L65+'산출조사서(소방전기)'!L114</f>
        <v>43.999000000000002</v>
      </c>
      <c r="E19" s="16">
        <f>TRUNC(일위대가목록!E15,0)</f>
        <v>0</v>
      </c>
      <c r="F19" s="16">
        <f t="shared" si="0"/>
        <v>0</v>
      </c>
      <c r="G19" s="16">
        <f>TRUNC(일위대가목록!F15,0)</f>
        <v>0</v>
      </c>
      <c r="H19" s="16">
        <f t="shared" si="1"/>
        <v>0</v>
      </c>
      <c r="I19" s="16">
        <f>TRUNC(일위대가목록!G15,0)</f>
        <v>0</v>
      </c>
      <c r="J19" s="16">
        <f t="shared" si="2"/>
        <v>0</v>
      </c>
      <c r="K19" s="16">
        <f t="shared" si="3"/>
        <v>0</v>
      </c>
      <c r="L19" s="16">
        <f t="shared" si="3"/>
        <v>0</v>
      </c>
      <c r="M19" s="17" t="s">
        <v>94</v>
      </c>
      <c r="N19" s="2" t="s">
        <v>95</v>
      </c>
      <c r="O19" s="2" t="s">
        <v>51</v>
      </c>
      <c r="P19" s="2" t="s">
        <v>51</v>
      </c>
      <c r="Q19" s="2" t="s">
        <v>54</v>
      </c>
      <c r="R19" s="2" t="s">
        <v>60</v>
      </c>
      <c r="S19" s="2" t="s">
        <v>61</v>
      </c>
      <c r="T19" s="2" t="s">
        <v>61</v>
      </c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2" t="s">
        <v>51</v>
      </c>
      <c r="AS19" s="2" t="s">
        <v>51</v>
      </c>
      <c r="AT19" s="3"/>
      <c r="AU19" s="2" t="s">
        <v>96</v>
      </c>
      <c r="AV19" s="3">
        <v>18</v>
      </c>
      <c r="AW19" t="str">
        <f t="shared" si="4"/>
        <v>전선관지지대 16 C</v>
      </c>
    </row>
    <row r="20" spans="1:49" ht="30" hidden="1" customHeight="1" x14ac:dyDescent="0.3">
      <c r="A20" s="17" t="s">
        <v>91</v>
      </c>
      <c r="B20" s="17" t="s">
        <v>97</v>
      </c>
      <c r="C20" s="17" t="s">
        <v>1311</v>
      </c>
      <c r="D20" s="41">
        <f>'산출조사서(소방전기)'!L8+'산출조사서(소방전기)'!L11+'산출조사서(소방전기)'!L14+'산출조사서(소방전기)'!L21+'산출조사서(소방전기)'!L78+'산출조사서(소방전기)'!L90+'산출조사서(소방전기)'!L150+'산출조사서(소방전기)'!L153</f>
        <v>172.666</v>
      </c>
      <c r="E20" s="16">
        <f>TRUNC(일위대가목록!E16,0)</f>
        <v>0</v>
      </c>
      <c r="F20" s="16">
        <f t="shared" si="0"/>
        <v>0</v>
      </c>
      <c r="G20" s="16">
        <f>TRUNC(일위대가목록!F16,0)</f>
        <v>0</v>
      </c>
      <c r="H20" s="16">
        <f t="shared" si="1"/>
        <v>0</v>
      </c>
      <c r="I20" s="16">
        <f>TRUNC(일위대가목록!G16,0)</f>
        <v>0</v>
      </c>
      <c r="J20" s="16">
        <f t="shared" si="2"/>
        <v>0</v>
      </c>
      <c r="K20" s="16">
        <f t="shared" si="3"/>
        <v>0</v>
      </c>
      <c r="L20" s="16">
        <f t="shared" si="3"/>
        <v>0</v>
      </c>
      <c r="M20" s="17" t="s">
        <v>98</v>
      </c>
      <c r="N20" s="2" t="s">
        <v>99</v>
      </c>
      <c r="O20" s="2" t="s">
        <v>51</v>
      </c>
      <c r="P20" s="2" t="s">
        <v>51</v>
      </c>
      <c r="Q20" s="2" t="s">
        <v>54</v>
      </c>
      <c r="R20" s="2" t="s">
        <v>60</v>
      </c>
      <c r="S20" s="2" t="s">
        <v>61</v>
      </c>
      <c r="T20" s="2" t="s">
        <v>61</v>
      </c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2" t="s">
        <v>51</v>
      </c>
      <c r="AS20" s="2" t="s">
        <v>51</v>
      </c>
      <c r="AT20" s="3"/>
      <c r="AU20" s="2" t="s">
        <v>100</v>
      </c>
      <c r="AV20" s="3">
        <v>19</v>
      </c>
      <c r="AW20" t="str">
        <f t="shared" si="4"/>
        <v>전선관지지대 22 C</v>
      </c>
    </row>
    <row r="21" spans="1:49" ht="30" hidden="1" customHeight="1" x14ac:dyDescent="0.3">
      <c r="A21" s="17" t="s">
        <v>91</v>
      </c>
      <c r="B21" s="17" t="s">
        <v>101</v>
      </c>
      <c r="C21" s="17" t="s">
        <v>1311</v>
      </c>
      <c r="D21" s="41">
        <f>'산출조사서(소방전기)'!L73+'산출조사서(소방전기)'!L77+'산출조사서(소방전기)'!L83+'산출조사서(소방전기)'!L84+'산출조사서(소방전기)'!L91+'산출조사서(소방전기)'!L92+'산출조사서(소방전기)'!L99+'산출조사서(소방전기)'!L100+'산출조사서(소방전기)'!L101+'산출조사서(소방전기)'!L106</f>
        <v>87.327999999999989</v>
      </c>
      <c r="E21" s="16">
        <f>TRUNC(일위대가목록!E17,0)</f>
        <v>0</v>
      </c>
      <c r="F21" s="16">
        <f t="shared" si="0"/>
        <v>0</v>
      </c>
      <c r="G21" s="16">
        <f>TRUNC(일위대가목록!F17,0)</f>
        <v>0</v>
      </c>
      <c r="H21" s="16">
        <f t="shared" si="1"/>
        <v>0</v>
      </c>
      <c r="I21" s="16">
        <f>TRUNC(일위대가목록!G17,0)</f>
        <v>0</v>
      </c>
      <c r="J21" s="16">
        <f t="shared" si="2"/>
        <v>0</v>
      </c>
      <c r="K21" s="16">
        <f t="shared" si="3"/>
        <v>0</v>
      </c>
      <c r="L21" s="16">
        <f t="shared" si="3"/>
        <v>0</v>
      </c>
      <c r="M21" s="17" t="s">
        <v>102</v>
      </c>
      <c r="N21" s="2" t="s">
        <v>103</v>
      </c>
      <c r="O21" s="2" t="s">
        <v>51</v>
      </c>
      <c r="P21" s="2" t="s">
        <v>51</v>
      </c>
      <c r="Q21" s="2" t="s">
        <v>54</v>
      </c>
      <c r="R21" s="2" t="s">
        <v>60</v>
      </c>
      <c r="S21" s="2" t="s">
        <v>61</v>
      </c>
      <c r="T21" s="2" t="s">
        <v>61</v>
      </c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2" t="s">
        <v>51</v>
      </c>
      <c r="AS21" s="2" t="s">
        <v>51</v>
      </c>
      <c r="AT21" s="3"/>
      <c r="AU21" s="2" t="s">
        <v>104</v>
      </c>
      <c r="AV21" s="3">
        <v>20</v>
      </c>
      <c r="AW21" t="str">
        <f t="shared" si="4"/>
        <v>전선관지지대 28 C</v>
      </c>
    </row>
    <row r="22" spans="1:49" ht="30" hidden="1" customHeight="1" x14ac:dyDescent="0.3">
      <c r="A22" s="17" t="s">
        <v>105</v>
      </c>
      <c r="B22" s="17" t="s">
        <v>106</v>
      </c>
      <c r="C22" s="17" t="s">
        <v>107</v>
      </c>
      <c r="D22" s="41">
        <v>36</v>
      </c>
      <c r="E22" s="16">
        <f>TRUNC(일위대가목록!E8,0)</f>
        <v>0</v>
      </c>
      <c r="F22" s="16">
        <f t="shared" si="0"/>
        <v>0</v>
      </c>
      <c r="G22" s="16">
        <f>TRUNC(일위대가목록!F8,0)</f>
        <v>0</v>
      </c>
      <c r="H22" s="16">
        <f t="shared" si="1"/>
        <v>0</v>
      </c>
      <c r="I22" s="16">
        <f>TRUNC(일위대가목록!G8,0)</f>
        <v>0</v>
      </c>
      <c r="J22" s="16">
        <f t="shared" si="2"/>
        <v>0</v>
      </c>
      <c r="K22" s="16">
        <f t="shared" si="3"/>
        <v>0</v>
      </c>
      <c r="L22" s="16">
        <f t="shared" si="3"/>
        <v>0</v>
      </c>
      <c r="M22" s="17" t="s">
        <v>108</v>
      </c>
      <c r="N22" s="2" t="s">
        <v>109</v>
      </c>
      <c r="O22" s="2" t="s">
        <v>51</v>
      </c>
      <c r="P22" s="2" t="s">
        <v>51</v>
      </c>
      <c r="Q22" s="2" t="s">
        <v>54</v>
      </c>
      <c r="R22" s="2" t="s">
        <v>60</v>
      </c>
      <c r="S22" s="2" t="s">
        <v>61</v>
      </c>
      <c r="T22" s="2" t="s">
        <v>61</v>
      </c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2" t="s">
        <v>51</v>
      </c>
      <c r="AS22" s="2" t="s">
        <v>51</v>
      </c>
      <c r="AT22" s="3"/>
      <c r="AU22" s="2" t="s">
        <v>110</v>
      </c>
      <c r="AV22" s="3">
        <v>11</v>
      </c>
      <c r="AW22" t="str">
        <f t="shared" si="4"/>
        <v>잡철물설치(철제) 간단</v>
      </c>
    </row>
    <row r="23" spans="1:49" ht="30" hidden="1" customHeight="1" x14ac:dyDescent="0.3">
      <c r="A23" s="17" t="s">
        <v>111</v>
      </c>
      <c r="B23" s="17" t="s">
        <v>51</v>
      </c>
      <c r="C23" s="17" t="s">
        <v>112</v>
      </c>
      <c r="D23" s="41">
        <v>9.7200000000000006</v>
      </c>
      <c r="E23" s="16">
        <f>TRUNC(일위대가목록!E9,0)</f>
        <v>0</v>
      </c>
      <c r="F23" s="16">
        <f t="shared" si="0"/>
        <v>0</v>
      </c>
      <c r="G23" s="16">
        <f>TRUNC(일위대가목록!F9,0)</f>
        <v>0</v>
      </c>
      <c r="H23" s="16">
        <f t="shared" si="1"/>
        <v>0</v>
      </c>
      <c r="I23" s="16">
        <f>TRUNC(일위대가목록!G9,0)</f>
        <v>0</v>
      </c>
      <c r="J23" s="16">
        <f t="shared" si="2"/>
        <v>0</v>
      </c>
      <c r="K23" s="16">
        <f t="shared" si="3"/>
        <v>0</v>
      </c>
      <c r="L23" s="16">
        <f t="shared" si="3"/>
        <v>0</v>
      </c>
      <c r="M23" s="17" t="s">
        <v>113</v>
      </c>
      <c r="N23" s="2" t="s">
        <v>114</v>
      </c>
      <c r="O23" s="2" t="s">
        <v>51</v>
      </c>
      <c r="P23" s="2" t="s">
        <v>51</v>
      </c>
      <c r="Q23" s="2" t="s">
        <v>54</v>
      </c>
      <c r="R23" s="2" t="s">
        <v>60</v>
      </c>
      <c r="S23" s="2" t="s">
        <v>61</v>
      </c>
      <c r="T23" s="2" t="s">
        <v>61</v>
      </c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2" t="s">
        <v>51</v>
      </c>
      <c r="AS23" s="2" t="s">
        <v>51</v>
      </c>
      <c r="AT23" s="3"/>
      <c r="AU23" s="2" t="s">
        <v>115</v>
      </c>
      <c r="AV23" s="3">
        <v>12</v>
      </c>
      <c r="AW23" t="str">
        <f t="shared" si="4"/>
        <v xml:space="preserve">텍스 철거후 재설치 </v>
      </c>
    </row>
    <row r="24" spans="1:49" ht="30" hidden="1" customHeight="1" x14ac:dyDescent="0.3">
      <c r="A24" s="17" t="s">
        <v>116</v>
      </c>
      <c r="B24" s="17" t="s">
        <v>117</v>
      </c>
      <c r="C24" s="17" t="s">
        <v>93</v>
      </c>
      <c r="D24" s="41">
        <v>8</v>
      </c>
      <c r="E24" s="16">
        <f>TRUNC(일위대가목록!E10,0)</f>
        <v>0</v>
      </c>
      <c r="F24" s="16">
        <f t="shared" si="0"/>
        <v>0</v>
      </c>
      <c r="G24" s="16">
        <f>TRUNC(일위대가목록!F10,0)</f>
        <v>0</v>
      </c>
      <c r="H24" s="16">
        <f t="shared" si="1"/>
        <v>0</v>
      </c>
      <c r="I24" s="16">
        <f>TRUNC(일위대가목록!G10,0)</f>
        <v>0</v>
      </c>
      <c r="J24" s="16">
        <f t="shared" si="2"/>
        <v>0</v>
      </c>
      <c r="K24" s="16">
        <f t="shared" si="3"/>
        <v>0</v>
      </c>
      <c r="L24" s="16">
        <f t="shared" si="3"/>
        <v>0</v>
      </c>
      <c r="M24" s="17" t="s">
        <v>118</v>
      </c>
      <c r="N24" s="2" t="s">
        <v>119</v>
      </c>
      <c r="O24" s="2" t="s">
        <v>51</v>
      </c>
      <c r="P24" s="2" t="s">
        <v>51</v>
      </c>
      <c r="Q24" s="2" t="s">
        <v>54</v>
      </c>
      <c r="R24" s="2" t="s">
        <v>60</v>
      </c>
      <c r="S24" s="2" t="s">
        <v>61</v>
      </c>
      <c r="T24" s="2" t="s">
        <v>61</v>
      </c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2" t="s">
        <v>51</v>
      </c>
      <c r="AS24" s="2" t="s">
        <v>51</v>
      </c>
      <c r="AT24" s="3"/>
      <c r="AU24" s="2" t="s">
        <v>120</v>
      </c>
      <c r="AV24" s="3">
        <v>13</v>
      </c>
      <c r="AW24" t="str">
        <f t="shared" si="4"/>
        <v>배관용 구멍뚫기(코어드릴)-Con,c 두께 30cm 이하 ∮25mm, 벽</v>
      </c>
    </row>
    <row r="25" spans="1:49" ht="30" hidden="1" customHeight="1" x14ac:dyDescent="0.3">
      <c r="A25" s="17" t="s">
        <v>121</v>
      </c>
      <c r="B25" s="17" t="s">
        <v>51</v>
      </c>
      <c r="C25" s="17" t="s">
        <v>122</v>
      </c>
      <c r="D25" s="41">
        <v>1</v>
      </c>
      <c r="E25" s="16">
        <f>TRUNC(일위대가목록!E33,0)</f>
        <v>0</v>
      </c>
      <c r="F25" s="16">
        <f t="shared" si="0"/>
        <v>0</v>
      </c>
      <c r="G25" s="16">
        <f>TRUNC(일위대가목록!F33,0)</f>
        <v>0</v>
      </c>
      <c r="H25" s="16">
        <f t="shared" si="1"/>
        <v>0</v>
      </c>
      <c r="I25" s="16">
        <f>TRUNC(일위대가목록!G33,0)</f>
        <v>0</v>
      </c>
      <c r="J25" s="16">
        <f t="shared" si="2"/>
        <v>0</v>
      </c>
      <c r="K25" s="16">
        <f t="shared" si="3"/>
        <v>0</v>
      </c>
      <c r="L25" s="16">
        <f t="shared" si="3"/>
        <v>0</v>
      </c>
      <c r="M25" s="17" t="s">
        <v>123</v>
      </c>
      <c r="N25" s="2" t="s">
        <v>124</v>
      </c>
      <c r="O25" s="2" t="s">
        <v>51</v>
      </c>
      <c r="P25" s="2" t="s">
        <v>51</v>
      </c>
      <c r="Q25" s="2" t="s">
        <v>54</v>
      </c>
      <c r="R25" s="2" t="s">
        <v>60</v>
      </c>
      <c r="S25" s="2" t="s">
        <v>61</v>
      </c>
      <c r="T25" s="2" t="s">
        <v>61</v>
      </c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2" t="s">
        <v>51</v>
      </c>
      <c r="AS25" s="2" t="s">
        <v>51</v>
      </c>
      <c r="AT25" s="3"/>
      <c r="AU25" s="2" t="s">
        <v>125</v>
      </c>
      <c r="AV25" s="3">
        <v>34</v>
      </c>
      <c r="AW25" t="str">
        <f t="shared" si="4"/>
        <v xml:space="preserve">가스수신반 </v>
      </c>
    </row>
    <row r="26" spans="1:49" ht="30" hidden="1" customHeight="1" x14ac:dyDescent="0.3">
      <c r="A26" s="17" t="s">
        <v>126</v>
      </c>
      <c r="B26" s="17" t="s">
        <v>127</v>
      </c>
      <c r="C26" s="17" t="s">
        <v>122</v>
      </c>
      <c r="D26" s="41">
        <v>1</v>
      </c>
      <c r="E26" s="16">
        <f>TRUNC(일위대가목록!E35,0)</f>
        <v>0</v>
      </c>
      <c r="F26" s="16">
        <f t="shared" si="0"/>
        <v>0</v>
      </c>
      <c r="G26" s="16">
        <f>TRUNC(일위대가목록!F35,0)</f>
        <v>0</v>
      </c>
      <c r="H26" s="16">
        <f t="shared" si="1"/>
        <v>0</v>
      </c>
      <c r="I26" s="16">
        <f>TRUNC(일위대가목록!G35,0)</f>
        <v>0</v>
      </c>
      <c r="J26" s="16">
        <f t="shared" si="2"/>
        <v>0</v>
      </c>
      <c r="K26" s="16">
        <f t="shared" si="3"/>
        <v>0</v>
      </c>
      <c r="L26" s="16">
        <f t="shared" si="3"/>
        <v>0</v>
      </c>
      <c r="M26" s="17" t="s">
        <v>128</v>
      </c>
      <c r="N26" s="2" t="s">
        <v>129</v>
      </c>
      <c r="O26" s="2" t="s">
        <v>51</v>
      </c>
      <c r="P26" s="2" t="s">
        <v>51</v>
      </c>
      <c r="Q26" s="2" t="s">
        <v>54</v>
      </c>
      <c r="R26" s="2" t="s">
        <v>60</v>
      </c>
      <c r="S26" s="2" t="s">
        <v>61</v>
      </c>
      <c r="T26" s="2" t="s">
        <v>61</v>
      </c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2" t="s">
        <v>51</v>
      </c>
      <c r="AS26" s="2" t="s">
        <v>51</v>
      </c>
      <c r="AT26" s="3"/>
      <c r="AU26" s="2" t="s">
        <v>130</v>
      </c>
      <c r="AV26" s="3">
        <v>36</v>
      </c>
      <c r="AW26" t="str">
        <f t="shared" si="4"/>
        <v>전원반 자동폐쇄장치전원반, 15A</v>
      </c>
    </row>
    <row r="27" spans="1:49" ht="30" hidden="1" customHeight="1" x14ac:dyDescent="0.3">
      <c r="A27" s="17" t="s">
        <v>131</v>
      </c>
      <c r="B27" s="17" t="s">
        <v>51</v>
      </c>
      <c r="C27" s="17" t="s">
        <v>132</v>
      </c>
      <c r="D27" s="41">
        <v>1</v>
      </c>
      <c r="E27" s="16">
        <f>TRUNC(일위대가목록!E21,0)</f>
        <v>0</v>
      </c>
      <c r="F27" s="16">
        <f t="shared" si="0"/>
        <v>0</v>
      </c>
      <c r="G27" s="16">
        <f>TRUNC(일위대가목록!F21,0)</f>
        <v>0</v>
      </c>
      <c r="H27" s="16">
        <f t="shared" si="1"/>
        <v>0</v>
      </c>
      <c r="I27" s="16">
        <f>TRUNC(일위대가목록!G21,0)</f>
        <v>0</v>
      </c>
      <c r="J27" s="16">
        <f t="shared" si="2"/>
        <v>0</v>
      </c>
      <c r="K27" s="16">
        <f t="shared" si="3"/>
        <v>0</v>
      </c>
      <c r="L27" s="16">
        <f t="shared" si="3"/>
        <v>0</v>
      </c>
      <c r="M27" s="17" t="s">
        <v>133</v>
      </c>
      <c r="N27" s="2" t="s">
        <v>134</v>
      </c>
      <c r="O27" s="2" t="s">
        <v>51</v>
      </c>
      <c r="P27" s="2" t="s">
        <v>51</v>
      </c>
      <c r="Q27" s="2" t="s">
        <v>54</v>
      </c>
      <c r="R27" s="2" t="s">
        <v>60</v>
      </c>
      <c r="S27" s="2" t="s">
        <v>61</v>
      </c>
      <c r="T27" s="2" t="s">
        <v>61</v>
      </c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2" t="s">
        <v>51</v>
      </c>
      <c r="AS27" s="2" t="s">
        <v>51</v>
      </c>
      <c r="AT27" s="3"/>
      <c r="AU27" s="2" t="s">
        <v>135</v>
      </c>
      <c r="AV27" s="3">
        <v>24</v>
      </c>
      <c r="AW27" t="str">
        <f t="shared" si="4"/>
        <v xml:space="preserve">경종 설치 </v>
      </c>
    </row>
    <row r="28" spans="1:49" ht="30" hidden="1" customHeight="1" x14ac:dyDescent="0.3">
      <c r="A28" s="17" t="s">
        <v>136</v>
      </c>
      <c r="B28" s="17" t="s">
        <v>137</v>
      </c>
      <c r="C28" s="17" t="s">
        <v>132</v>
      </c>
      <c r="D28" s="41">
        <v>10</v>
      </c>
      <c r="E28" s="16">
        <f>TRUNC(일위대가목록!E22,0)</f>
        <v>0</v>
      </c>
      <c r="F28" s="16">
        <f t="shared" si="0"/>
        <v>0</v>
      </c>
      <c r="G28" s="16">
        <f>TRUNC(일위대가목록!F22,0)</f>
        <v>0</v>
      </c>
      <c r="H28" s="16">
        <f t="shared" si="1"/>
        <v>0</v>
      </c>
      <c r="I28" s="16">
        <f>TRUNC(일위대가목록!G22,0)</f>
        <v>0</v>
      </c>
      <c r="J28" s="16">
        <f t="shared" si="2"/>
        <v>0</v>
      </c>
      <c r="K28" s="16">
        <f t="shared" si="3"/>
        <v>0</v>
      </c>
      <c r="L28" s="16">
        <f t="shared" si="3"/>
        <v>0</v>
      </c>
      <c r="M28" s="17" t="s">
        <v>138</v>
      </c>
      <c r="N28" s="2" t="s">
        <v>139</v>
      </c>
      <c r="O28" s="2" t="s">
        <v>51</v>
      </c>
      <c r="P28" s="2" t="s">
        <v>51</v>
      </c>
      <c r="Q28" s="2" t="s">
        <v>54</v>
      </c>
      <c r="R28" s="2" t="s">
        <v>60</v>
      </c>
      <c r="S28" s="2" t="s">
        <v>61</v>
      </c>
      <c r="T28" s="2" t="s">
        <v>61</v>
      </c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2" t="s">
        <v>51</v>
      </c>
      <c r="AS28" s="2" t="s">
        <v>51</v>
      </c>
      <c r="AT28" s="3"/>
      <c r="AU28" s="2" t="s">
        <v>140</v>
      </c>
      <c r="AV28" s="3">
        <v>25</v>
      </c>
      <c r="AW28" t="str">
        <f t="shared" si="4"/>
        <v>화재감지기 열감지기,차동식스포트형</v>
      </c>
    </row>
    <row r="29" spans="1:49" ht="30" hidden="1" customHeight="1" x14ac:dyDescent="0.3">
      <c r="A29" s="17" t="s">
        <v>136</v>
      </c>
      <c r="B29" s="17" t="s">
        <v>141</v>
      </c>
      <c r="C29" s="17" t="s">
        <v>132</v>
      </c>
      <c r="D29" s="41">
        <v>10</v>
      </c>
      <c r="E29" s="16">
        <f>TRUNC(일위대가목록!E25,0)</f>
        <v>0</v>
      </c>
      <c r="F29" s="16">
        <f t="shared" si="0"/>
        <v>0</v>
      </c>
      <c r="G29" s="16">
        <f>TRUNC(일위대가목록!F25,0)</f>
        <v>0</v>
      </c>
      <c r="H29" s="16">
        <f t="shared" si="1"/>
        <v>0</v>
      </c>
      <c r="I29" s="16">
        <f>TRUNC(일위대가목록!G25,0)</f>
        <v>0</v>
      </c>
      <c r="J29" s="16">
        <f t="shared" si="2"/>
        <v>0</v>
      </c>
      <c r="K29" s="16">
        <f t="shared" si="3"/>
        <v>0</v>
      </c>
      <c r="L29" s="16">
        <f t="shared" si="3"/>
        <v>0</v>
      </c>
      <c r="M29" s="17" t="s">
        <v>142</v>
      </c>
      <c r="N29" s="2" t="s">
        <v>143</v>
      </c>
      <c r="O29" s="2" t="s">
        <v>51</v>
      </c>
      <c r="P29" s="2" t="s">
        <v>51</v>
      </c>
      <c r="Q29" s="2" t="s">
        <v>54</v>
      </c>
      <c r="R29" s="2" t="s">
        <v>60</v>
      </c>
      <c r="S29" s="2" t="s">
        <v>61</v>
      </c>
      <c r="T29" s="2" t="s">
        <v>61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51</v>
      </c>
      <c r="AS29" s="2" t="s">
        <v>51</v>
      </c>
      <c r="AT29" s="3"/>
      <c r="AU29" s="2" t="s">
        <v>144</v>
      </c>
      <c r="AV29" s="3">
        <v>26</v>
      </c>
      <c r="AW29" t="str">
        <f t="shared" si="4"/>
        <v>화재감지기 연기감지기,광전식2종-비축적</v>
      </c>
    </row>
    <row r="30" spans="1:49" ht="30" hidden="1" customHeight="1" x14ac:dyDescent="0.3">
      <c r="A30" s="17" t="s">
        <v>145</v>
      </c>
      <c r="B30" s="17" t="s">
        <v>146</v>
      </c>
      <c r="C30" s="17" t="s">
        <v>132</v>
      </c>
      <c r="D30" s="41">
        <v>6</v>
      </c>
      <c r="E30" s="16">
        <f>TRUNC(일위대가목록!E28,0)</f>
        <v>0</v>
      </c>
      <c r="F30" s="16">
        <f t="shared" si="0"/>
        <v>0</v>
      </c>
      <c r="G30" s="16">
        <f>TRUNC(일위대가목록!F28,0)</f>
        <v>0</v>
      </c>
      <c r="H30" s="16">
        <f t="shared" si="1"/>
        <v>0</v>
      </c>
      <c r="I30" s="16">
        <f>TRUNC(일위대가목록!G28,0)</f>
        <v>0</v>
      </c>
      <c r="J30" s="16">
        <f t="shared" si="2"/>
        <v>0</v>
      </c>
      <c r="K30" s="16">
        <f t="shared" si="3"/>
        <v>0</v>
      </c>
      <c r="L30" s="16">
        <f t="shared" si="3"/>
        <v>0</v>
      </c>
      <c r="M30" s="17" t="s">
        <v>147</v>
      </c>
      <c r="N30" s="2" t="s">
        <v>148</v>
      </c>
      <c r="O30" s="2" t="s">
        <v>51</v>
      </c>
      <c r="P30" s="2" t="s">
        <v>51</v>
      </c>
      <c r="Q30" s="2" t="s">
        <v>54</v>
      </c>
      <c r="R30" s="2" t="s">
        <v>60</v>
      </c>
      <c r="S30" s="2" t="s">
        <v>61</v>
      </c>
      <c r="T30" s="2" t="s">
        <v>61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51</v>
      </c>
      <c r="AS30" s="2" t="s">
        <v>51</v>
      </c>
      <c r="AT30" s="3"/>
      <c r="AU30" s="2" t="s">
        <v>149</v>
      </c>
      <c r="AV30" s="3">
        <v>29</v>
      </c>
      <c r="AW30" t="str">
        <f t="shared" si="4"/>
        <v>전자사이렌 설치 DC 24V</v>
      </c>
    </row>
    <row r="31" spans="1:49" ht="30" hidden="1" customHeight="1" x14ac:dyDescent="0.3">
      <c r="A31" s="17" t="s">
        <v>150</v>
      </c>
      <c r="B31" s="17" t="s">
        <v>151</v>
      </c>
      <c r="C31" s="17" t="s">
        <v>132</v>
      </c>
      <c r="D31" s="41">
        <v>2</v>
      </c>
      <c r="E31" s="16">
        <f>TRUNC(일위대가목록!E29,0)</f>
        <v>0</v>
      </c>
      <c r="F31" s="16">
        <f t="shared" si="0"/>
        <v>0</v>
      </c>
      <c r="G31" s="16">
        <f>TRUNC(일위대가목록!F29,0)</f>
        <v>0</v>
      </c>
      <c r="H31" s="16">
        <f t="shared" si="1"/>
        <v>0</v>
      </c>
      <c r="I31" s="16">
        <f>TRUNC(일위대가목록!G29,0)</f>
        <v>0</v>
      </c>
      <c r="J31" s="16">
        <f t="shared" si="2"/>
        <v>0</v>
      </c>
      <c r="K31" s="16">
        <f t="shared" si="3"/>
        <v>0</v>
      </c>
      <c r="L31" s="16">
        <f t="shared" si="3"/>
        <v>0</v>
      </c>
      <c r="M31" s="17" t="s">
        <v>152</v>
      </c>
      <c r="N31" s="2" t="s">
        <v>153</v>
      </c>
      <c r="O31" s="2" t="s">
        <v>51</v>
      </c>
      <c r="P31" s="2" t="s">
        <v>51</v>
      </c>
      <c r="Q31" s="2" t="s">
        <v>54</v>
      </c>
      <c r="R31" s="2" t="s">
        <v>60</v>
      </c>
      <c r="S31" s="2" t="s">
        <v>61</v>
      </c>
      <c r="T31" s="2" t="s">
        <v>61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51</v>
      </c>
      <c r="AS31" s="2" t="s">
        <v>51</v>
      </c>
      <c r="AT31" s="3"/>
      <c r="AU31" s="2" t="s">
        <v>154</v>
      </c>
      <c r="AV31" s="3">
        <v>30</v>
      </c>
      <c r="AW31" t="str">
        <f t="shared" si="4"/>
        <v>자동폐쇄장치-창문형 DC-24V</v>
      </c>
    </row>
    <row r="32" spans="1:49" ht="30" hidden="1" customHeight="1" x14ac:dyDescent="0.3">
      <c r="A32" s="17" t="s">
        <v>155</v>
      </c>
      <c r="B32" s="17" t="s">
        <v>151</v>
      </c>
      <c r="C32" s="17" t="s">
        <v>132</v>
      </c>
      <c r="D32" s="41">
        <v>10</v>
      </c>
      <c r="E32" s="16">
        <f>TRUNC(일위대가목록!E30,0)</f>
        <v>0</v>
      </c>
      <c r="F32" s="16">
        <f t="shared" si="0"/>
        <v>0</v>
      </c>
      <c r="G32" s="16">
        <f>TRUNC(일위대가목록!F30,0)</f>
        <v>0</v>
      </c>
      <c r="H32" s="16">
        <f t="shared" si="1"/>
        <v>0</v>
      </c>
      <c r="I32" s="16">
        <f>TRUNC(일위대가목록!G30,0)</f>
        <v>0</v>
      </c>
      <c r="J32" s="16">
        <f t="shared" si="2"/>
        <v>0</v>
      </c>
      <c r="K32" s="16">
        <f t="shared" si="3"/>
        <v>0</v>
      </c>
      <c r="L32" s="16">
        <f t="shared" si="3"/>
        <v>0</v>
      </c>
      <c r="M32" s="17" t="s">
        <v>156</v>
      </c>
      <c r="N32" s="2" t="s">
        <v>157</v>
      </c>
      <c r="O32" s="2" t="s">
        <v>51</v>
      </c>
      <c r="P32" s="2" t="s">
        <v>51</v>
      </c>
      <c r="Q32" s="2" t="s">
        <v>54</v>
      </c>
      <c r="R32" s="2" t="s">
        <v>60</v>
      </c>
      <c r="S32" s="2" t="s">
        <v>61</v>
      </c>
      <c r="T32" s="2" t="s">
        <v>61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51</v>
      </c>
      <c r="AS32" s="2" t="s">
        <v>51</v>
      </c>
      <c r="AT32" s="3"/>
      <c r="AU32" s="2" t="s">
        <v>158</v>
      </c>
      <c r="AV32" s="3">
        <v>31</v>
      </c>
      <c r="AW32" t="str">
        <f t="shared" si="4"/>
        <v>자동폐쇄장치-방화문 DC-24V</v>
      </c>
    </row>
    <row r="33" spans="1:49" ht="30" hidden="1" customHeight="1" x14ac:dyDescent="0.3">
      <c r="A33" s="17" t="s">
        <v>159</v>
      </c>
      <c r="B33" s="17" t="s">
        <v>160</v>
      </c>
      <c r="C33" s="17" t="s">
        <v>122</v>
      </c>
      <c r="D33" s="41">
        <v>1</v>
      </c>
      <c r="E33" s="16">
        <f>TRUNC(일위대가목록!E31,0)</f>
        <v>0</v>
      </c>
      <c r="F33" s="16">
        <f t="shared" si="0"/>
        <v>0</v>
      </c>
      <c r="G33" s="16">
        <f>TRUNC(일위대가목록!F31,0)</f>
        <v>0</v>
      </c>
      <c r="H33" s="16">
        <f t="shared" si="1"/>
        <v>0</v>
      </c>
      <c r="I33" s="16">
        <f>TRUNC(일위대가목록!G31,0)</f>
        <v>0</v>
      </c>
      <c r="J33" s="16">
        <f t="shared" si="2"/>
        <v>0</v>
      </c>
      <c r="K33" s="16">
        <f t="shared" si="3"/>
        <v>0</v>
      </c>
      <c r="L33" s="16">
        <f t="shared" si="3"/>
        <v>0</v>
      </c>
      <c r="M33" s="17" t="s">
        <v>161</v>
      </c>
      <c r="N33" s="2" t="s">
        <v>162</v>
      </c>
      <c r="O33" s="2" t="s">
        <v>51</v>
      </c>
      <c r="P33" s="2" t="s">
        <v>51</v>
      </c>
      <c r="Q33" s="2" t="s">
        <v>54</v>
      </c>
      <c r="R33" s="2" t="s">
        <v>60</v>
      </c>
      <c r="S33" s="2" t="s">
        <v>61</v>
      </c>
      <c r="T33" s="2" t="s">
        <v>61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51</v>
      </c>
      <c r="AS33" s="2" t="s">
        <v>51</v>
      </c>
      <c r="AT33" s="3"/>
      <c r="AU33" s="2" t="s">
        <v>163</v>
      </c>
      <c r="AV33" s="3">
        <v>32</v>
      </c>
      <c r="AW33" t="str">
        <f t="shared" si="4"/>
        <v>경비실 부수신기 재결선 지하층 2구역 철거 및 지하수신기 1구역 연동</v>
      </c>
    </row>
    <row r="34" spans="1:49" ht="30" hidden="1" customHeight="1" x14ac:dyDescent="0.3">
      <c r="A34" s="17" t="s">
        <v>164</v>
      </c>
      <c r="B34" s="17" t="s">
        <v>160</v>
      </c>
      <c r="C34" s="17" t="s">
        <v>122</v>
      </c>
      <c r="D34" s="41">
        <v>1</v>
      </c>
      <c r="E34" s="16">
        <f>TRUNC(일위대가목록!E32,0)</f>
        <v>0</v>
      </c>
      <c r="F34" s="16">
        <f t="shared" si="0"/>
        <v>0</v>
      </c>
      <c r="G34" s="16">
        <f>TRUNC(일위대가목록!F32,0)</f>
        <v>0</v>
      </c>
      <c r="H34" s="16">
        <f t="shared" si="1"/>
        <v>0</v>
      </c>
      <c r="I34" s="16">
        <f>TRUNC(일위대가목록!G32,0)</f>
        <v>0</v>
      </c>
      <c r="J34" s="16">
        <f t="shared" si="2"/>
        <v>0</v>
      </c>
      <c r="K34" s="16">
        <f t="shared" si="3"/>
        <v>0</v>
      </c>
      <c r="L34" s="16">
        <f t="shared" si="3"/>
        <v>0</v>
      </c>
      <c r="M34" s="17" t="s">
        <v>165</v>
      </c>
      <c r="N34" s="2" t="s">
        <v>166</v>
      </c>
      <c r="O34" s="2" t="s">
        <v>51</v>
      </c>
      <c r="P34" s="2" t="s">
        <v>51</v>
      </c>
      <c r="Q34" s="2" t="s">
        <v>54</v>
      </c>
      <c r="R34" s="2" t="s">
        <v>60</v>
      </c>
      <c r="S34" s="2" t="s">
        <v>61</v>
      </c>
      <c r="T34" s="2" t="s">
        <v>61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51</v>
      </c>
      <c r="AS34" s="2" t="s">
        <v>51</v>
      </c>
      <c r="AT34" s="3"/>
      <c r="AU34" s="2" t="s">
        <v>167</v>
      </c>
      <c r="AV34" s="3">
        <v>33</v>
      </c>
      <c r="AW34" t="str">
        <f t="shared" si="4"/>
        <v>통제실 메인수신기 재결선 지하층 2구역 철거 및 지하수신기 1구역 연동</v>
      </c>
    </row>
    <row r="35" spans="1:49" ht="30" hidden="1" customHeight="1" x14ac:dyDescent="0.3">
      <c r="A35" s="17" t="s">
        <v>168</v>
      </c>
      <c r="B35" s="17" t="s">
        <v>169</v>
      </c>
      <c r="C35" s="17" t="s">
        <v>93</v>
      </c>
      <c r="D35" s="41">
        <f>'산출조사서(소방전기)'!L32</f>
        <v>16</v>
      </c>
      <c r="E35" s="16">
        <f>TRUNC(일위대가목록!E34,0)</f>
        <v>0</v>
      </c>
      <c r="F35" s="16">
        <f t="shared" si="0"/>
        <v>0</v>
      </c>
      <c r="G35" s="16">
        <f>TRUNC(일위대가목록!F34,0)</f>
        <v>0</v>
      </c>
      <c r="H35" s="16">
        <f t="shared" si="1"/>
        <v>0</v>
      </c>
      <c r="I35" s="16">
        <f>TRUNC(일위대가목록!G34,0)</f>
        <v>0</v>
      </c>
      <c r="J35" s="16">
        <f t="shared" si="2"/>
        <v>0</v>
      </c>
      <c r="K35" s="16">
        <f t="shared" si="3"/>
        <v>0</v>
      </c>
      <c r="L35" s="16">
        <f t="shared" si="3"/>
        <v>0</v>
      </c>
      <c r="M35" s="17" t="s">
        <v>170</v>
      </c>
      <c r="N35" s="2" t="s">
        <v>171</v>
      </c>
      <c r="O35" s="2" t="s">
        <v>51</v>
      </c>
      <c r="P35" s="2" t="s">
        <v>51</v>
      </c>
      <c r="Q35" s="2" t="s">
        <v>54</v>
      </c>
      <c r="R35" s="2" t="s">
        <v>60</v>
      </c>
      <c r="S35" s="2" t="s">
        <v>61</v>
      </c>
      <c r="T35" s="2" t="s">
        <v>61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2" t="s">
        <v>51</v>
      </c>
      <c r="AS35" s="2" t="s">
        <v>51</v>
      </c>
      <c r="AT35" s="3"/>
      <c r="AU35" s="2" t="s">
        <v>172</v>
      </c>
      <c r="AV35" s="3">
        <v>35</v>
      </c>
      <c r="AW35" t="str">
        <f t="shared" si="4"/>
        <v>걸이시설설치 생명줄포함</v>
      </c>
    </row>
    <row r="36" spans="1:49" ht="30" hidden="1" customHeight="1" x14ac:dyDescent="0.3">
      <c r="A36" s="17" t="s">
        <v>173</v>
      </c>
      <c r="B36" s="17" t="s">
        <v>51</v>
      </c>
      <c r="C36" s="17" t="s">
        <v>132</v>
      </c>
      <c r="D36" s="41">
        <v>20</v>
      </c>
      <c r="E36" s="16">
        <f>TRUNC(일위대가목록!E26,0)</f>
        <v>0</v>
      </c>
      <c r="F36" s="16">
        <f t="shared" si="0"/>
        <v>0</v>
      </c>
      <c r="G36" s="16">
        <f>TRUNC(일위대가목록!F26,0)</f>
        <v>0</v>
      </c>
      <c r="H36" s="16">
        <f t="shared" si="1"/>
        <v>0</v>
      </c>
      <c r="I36" s="16">
        <f>TRUNC(일위대가목록!G26,0)</f>
        <v>0</v>
      </c>
      <c r="J36" s="16">
        <f t="shared" si="2"/>
        <v>0</v>
      </c>
      <c r="K36" s="16">
        <f t="shared" si="3"/>
        <v>0</v>
      </c>
      <c r="L36" s="16">
        <f t="shared" si="3"/>
        <v>0</v>
      </c>
      <c r="M36" s="17" t="s">
        <v>174</v>
      </c>
      <c r="N36" s="2" t="s">
        <v>175</v>
      </c>
      <c r="O36" s="2" t="s">
        <v>51</v>
      </c>
      <c r="P36" s="2" t="s">
        <v>51</v>
      </c>
      <c r="Q36" s="2" t="s">
        <v>54</v>
      </c>
      <c r="R36" s="2" t="s">
        <v>60</v>
      </c>
      <c r="S36" s="2" t="s">
        <v>61</v>
      </c>
      <c r="T36" s="2" t="s">
        <v>61</v>
      </c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2" t="s">
        <v>51</v>
      </c>
      <c r="AS36" s="2" t="s">
        <v>51</v>
      </c>
      <c r="AT36" s="3"/>
      <c r="AU36" s="2" t="s">
        <v>176</v>
      </c>
      <c r="AV36" s="3">
        <v>27</v>
      </c>
      <c r="AW36" t="str">
        <f t="shared" si="4"/>
        <v xml:space="preserve">화재감지기 - 철거 </v>
      </c>
    </row>
    <row r="37" spans="1:49" ht="30" hidden="1" customHeight="1" x14ac:dyDescent="0.3">
      <c r="A37" s="17" t="s">
        <v>177</v>
      </c>
      <c r="B37" s="17" t="s">
        <v>51</v>
      </c>
      <c r="C37" s="17" t="s">
        <v>74</v>
      </c>
      <c r="D37" s="41">
        <v>6</v>
      </c>
      <c r="E37" s="16">
        <f>TRUNC(일위대가목록!E27,0)</f>
        <v>0</v>
      </c>
      <c r="F37" s="16">
        <f t="shared" si="0"/>
        <v>0</v>
      </c>
      <c r="G37" s="16">
        <f>TRUNC(일위대가목록!F27,0)</f>
        <v>0</v>
      </c>
      <c r="H37" s="16">
        <f t="shared" si="1"/>
        <v>0</v>
      </c>
      <c r="I37" s="16">
        <f>TRUNC(일위대가목록!G27,0)</f>
        <v>0</v>
      </c>
      <c r="J37" s="16">
        <f t="shared" si="2"/>
        <v>0</v>
      </c>
      <c r="K37" s="16">
        <f t="shared" si="3"/>
        <v>0</v>
      </c>
      <c r="L37" s="16">
        <f t="shared" si="3"/>
        <v>0</v>
      </c>
      <c r="M37" s="17" t="s">
        <v>178</v>
      </c>
      <c r="N37" s="2" t="s">
        <v>179</v>
      </c>
      <c r="O37" s="2" t="s">
        <v>51</v>
      </c>
      <c r="P37" s="2" t="s">
        <v>51</v>
      </c>
      <c r="Q37" s="2" t="s">
        <v>54</v>
      </c>
      <c r="R37" s="2" t="s">
        <v>60</v>
      </c>
      <c r="S37" s="2" t="s">
        <v>61</v>
      </c>
      <c r="T37" s="2" t="s">
        <v>61</v>
      </c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2" t="s">
        <v>51</v>
      </c>
      <c r="AS37" s="2" t="s">
        <v>51</v>
      </c>
      <c r="AT37" s="3"/>
      <c r="AU37" s="2" t="s">
        <v>180</v>
      </c>
      <c r="AV37" s="3">
        <v>28</v>
      </c>
      <c r="AW37" t="str">
        <f t="shared" si="4"/>
        <v xml:space="preserve">전자싸이렌 - 철거 </v>
      </c>
    </row>
    <row r="38" spans="1:49" ht="30" hidden="1" customHeight="1" x14ac:dyDescent="0.3">
      <c r="A38" s="17" t="s">
        <v>181</v>
      </c>
      <c r="B38" s="17" t="s">
        <v>182</v>
      </c>
      <c r="C38" s="17" t="s">
        <v>122</v>
      </c>
      <c r="D38" s="41">
        <v>6</v>
      </c>
      <c r="E38" s="16">
        <f>TRUNC(일위대가목록!E37,0)</f>
        <v>0</v>
      </c>
      <c r="F38" s="16">
        <f t="shared" si="0"/>
        <v>0</v>
      </c>
      <c r="G38" s="16">
        <f>TRUNC(일위대가목록!F37,0)</f>
        <v>0</v>
      </c>
      <c r="H38" s="16">
        <f t="shared" si="1"/>
        <v>0</v>
      </c>
      <c r="I38" s="16">
        <f>TRUNC(일위대가목록!G37,0)</f>
        <v>0</v>
      </c>
      <c r="J38" s="16">
        <f t="shared" si="2"/>
        <v>0</v>
      </c>
      <c r="K38" s="16">
        <f t="shared" si="3"/>
        <v>0</v>
      </c>
      <c r="L38" s="16">
        <f t="shared" si="3"/>
        <v>0</v>
      </c>
      <c r="M38" s="17" t="s">
        <v>183</v>
      </c>
      <c r="N38" s="2" t="s">
        <v>184</v>
      </c>
      <c r="O38" s="2" t="s">
        <v>51</v>
      </c>
      <c r="P38" s="2" t="s">
        <v>51</v>
      </c>
      <c r="Q38" s="2" t="s">
        <v>54</v>
      </c>
      <c r="R38" s="2" t="s">
        <v>60</v>
      </c>
      <c r="S38" s="2" t="s">
        <v>61</v>
      </c>
      <c r="T38" s="2" t="s">
        <v>61</v>
      </c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2" t="s">
        <v>51</v>
      </c>
      <c r="AS38" s="2" t="s">
        <v>51</v>
      </c>
      <c r="AT38" s="3"/>
      <c r="AU38" s="2" t="s">
        <v>185</v>
      </c>
      <c r="AV38" s="3">
        <v>37</v>
      </c>
      <c r="AW38" t="str">
        <f t="shared" si="4"/>
        <v>아우트렛박스 중형4각 54㎜</v>
      </c>
    </row>
    <row r="39" spans="1:49" ht="30" hidden="1" customHeight="1" x14ac:dyDescent="0.3">
      <c r="A39" s="17" t="s">
        <v>186</v>
      </c>
      <c r="B39" s="17" t="s">
        <v>51</v>
      </c>
      <c r="C39" s="17" t="s">
        <v>187</v>
      </c>
      <c r="D39" s="41">
        <v>4</v>
      </c>
      <c r="E39" s="16">
        <f>TRUNC(일위대가목록!E23,0)</f>
        <v>0</v>
      </c>
      <c r="F39" s="16">
        <f t="shared" si="0"/>
        <v>0</v>
      </c>
      <c r="G39" s="16">
        <f>TRUNC(일위대가목록!F23,0)</f>
        <v>0</v>
      </c>
      <c r="H39" s="16">
        <f t="shared" si="1"/>
        <v>0</v>
      </c>
      <c r="I39" s="16">
        <f>TRUNC(일위대가목록!G23,0)</f>
        <v>0</v>
      </c>
      <c r="J39" s="16">
        <f t="shared" si="2"/>
        <v>0</v>
      </c>
      <c r="K39" s="16">
        <f t="shared" si="3"/>
        <v>0</v>
      </c>
      <c r="L39" s="16">
        <f t="shared" si="3"/>
        <v>0</v>
      </c>
      <c r="M39" s="17" t="s">
        <v>188</v>
      </c>
      <c r="N39" s="2" t="s">
        <v>189</v>
      </c>
      <c r="O39" s="2" t="s">
        <v>51</v>
      </c>
      <c r="P39" s="2" t="s">
        <v>51</v>
      </c>
      <c r="Q39" s="2" t="s">
        <v>54</v>
      </c>
      <c r="R39" s="2" t="s">
        <v>60</v>
      </c>
      <c r="S39" s="2" t="s">
        <v>61</v>
      </c>
      <c r="T39" s="2" t="s">
        <v>61</v>
      </c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2" t="s">
        <v>51</v>
      </c>
      <c r="AS39" s="2" t="s">
        <v>51</v>
      </c>
      <c r="AT39" s="3"/>
      <c r="AU39" s="2" t="s">
        <v>190</v>
      </c>
      <c r="AV39" s="3">
        <v>4</v>
      </c>
      <c r="AW39" t="str">
        <f t="shared" si="4"/>
        <v xml:space="preserve">덕트관통부채움 </v>
      </c>
    </row>
    <row r="40" spans="1:49" ht="30" hidden="1" customHeight="1" x14ac:dyDescent="0.3">
      <c r="A40" s="17" t="s">
        <v>191</v>
      </c>
      <c r="B40" s="17" t="s">
        <v>51</v>
      </c>
      <c r="C40" s="17" t="s">
        <v>187</v>
      </c>
      <c r="D40" s="41">
        <v>1</v>
      </c>
      <c r="E40" s="16">
        <f>TRUNC(일위대가목록!E24,0)</f>
        <v>0</v>
      </c>
      <c r="F40" s="16">
        <f t="shared" si="0"/>
        <v>0</v>
      </c>
      <c r="G40" s="16">
        <f>TRUNC(일위대가목록!F24,0)</f>
        <v>0</v>
      </c>
      <c r="H40" s="16">
        <f t="shared" si="1"/>
        <v>0</v>
      </c>
      <c r="I40" s="16">
        <f>TRUNC(일위대가목록!G24,0)</f>
        <v>0</v>
      </c>
      <c r="J40" s="16">
        <f t="shared" si="2"/>
        <v>0</v>
      </c>
      <c r="K40" s="16">
        <f t="shared" si="3"/>
        <v>0</v>
      </c>
      <c r="L40" s="16">
        <f t="shared" si="3"/>
        <v>0</v>
      </c>
      <c r="M40" s="17" t="s">
        <v>192</v>
      </c>
      <c r="N40" s="2" t="s">
        <v>193</v>
      </c>
      <c r="O40" s="2" t="s">
        <v>51</v>
      </c>
      <c r="P40" s="2" t="s">
        <v>51</v>
      </c>
      <c r="Q40" s="2" t="s">
        <v>54</v>
      </c>
      <c r="R40" s="2" t="s">
        <v>60</v>
      </c>
      <c r="S40" s="2" t="s">
        <v>61</v>
      </c>
      <c r="T40" s="2" t="s">
        <v>61</v>
      </c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2" t="s">
        <v>51</v>
      </c>
      <c r="AS40" s="2" t="s">
        <v>51</v>
      </c>
      <c r="AT40" s="3"/>
      <c r="AU40" s="2" t="s">
        <v>194</v>
      </c>
      <c r="AV40" s="3">
        <v>5</v>
      </c>
      <c r="AW40" t="str">
        <f t="shared" si="4"/>
        <v xml:space="preserve">배관관통부채움 </v>
      </c>
    </row>
    <row r="41" spans="1:49" ht="30" hidden="1" customHeight="1" x14ac:dyDescent="0.3">
      <c r="A41" s="17" t="s">
        <v>195</v>
      </c>
      <c r="B41" s="17" t="s">
        <v>196</v>
      </c>
      <c r="C41" s="17" t="s">
        <v>122</v>
      </c>
      <c r="D41" s="41">
        <v>4</v>
      </c>
      <c r="E41" s="16">
        <f>TRUNC(일위대가목록!E7,0)</f>
        <v>0</v>
      </c>
      <c r="F41" s="16">
        <f t="shared" si="0"/>
        <v>0</v>
      </c>
      <c r="G41" s="16">
        <f>TRUNC(일위대가목록!F7,0)</f>
        <v>0</v>
      </c>
      <c r="H41" s="16">
        <f t="shared" si="1"/>
        <v>0</v>
      </c>
      <c r="I41" s="16">
        <f>TRUNC(일위대가목록!G7,0)</f>
        <v>0</v>
      </c>
      <c r="J41" s="16">
        <f t="shared" si="2"/>
        <v>0</v>
      </c>
      <c r="K41" s="16">
        <f t="shared" si="3"/>
        <v>0</v>
      </c>
      <c r="L41" s="16">
        <f t="shared" si="3"/>
        <v>0</v>
      </c>
      <c r="M41" s="17" t="s">
        <v>197</v>
      </c>
      <c r="N41" s="2" t="s">
        <v>198</v>
      </c>
      <c r="O41" s="2" t="s">
        <v>51</v>
      </c>
      <c r="P41" s="2" t="s">
        <v>51</v>
      </c>
      <c r="Q41" s="2" t="s">
        <v>54</v>
      </c>
      <c r="R41" s="2" t="s">
        <v>60</v>
      </c>
      <c r="S41" s="2" t="s">
        <v>61</v>
      </c>
      <c r="T41" s="2" t="s">
        <v>61</v>
      </c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2" t="s">
        <v>51</v>
      </c>
      <c r="AS41" s="2" t="s">
        <v>51</v>
      </c>
      <c r="AT41" s="3"/>
      <c r="AU41" s="2" t="s">
        <v>199</v>
      </c>
      <c r="AV41" s="3">
        <v>38</v>
      </c>
      <c r="AW41" t="str">
        <f t="shared" si="4"/>
        <v>강관 조립말비계(이동식)설치 및 해체 높이 4m, 3개월</v>
      </c>
    </row>
    <row r="42" spans="1:49" ht="30" hidden="1" customHeight="1" x14ac:dyDescent="0.3">
      <c r="A42" s="17" t="s">
        <v>200</v>
      </c>
      <c r="B42" s="17" t="s">
        <v>201</v>
      </c>
      <c r="C42" s="17" t="s">
        <v>132</v>
      </c>
      <c r="D42" s="41">
        <v>13</v>
      </c>
      <c r="E42" s="16">
        <f>TRUNC(단가대비표!O25,0)</f>
        <v>11000</v>
      </c>
      <c r="F42" s="16">
        <f t="shared" si="0"/>
        <v>143000</v>
      </c>
      <c r="G42" s="16">
        <f>TRUNC(단가대비표!P25,0)</f>
        <v>0</v>
      </c>
      <c r="H42" s="16">
        <f t="shared" si="1"/>
        <v>0</v>
      </c>
      <c r="I42" s="16">
        <f>TRUNC(단가대비표!V25,0)</f>
        <v>0</v>
      </c>
      <c r="J42" s="16">
        <f t="shared" si="2"/>
        <v>0</v>
      </c>
      <c r="K42" s="16">
        <f t="shared" si="3"/>
        <v>11000</v>
      </c>
      <c r="L42" s="16">
        <f t="shared" si="3"/>
        <v>143000</v>
      </c>
      <c r="M42" s="17" t="s">
        <v>202</v>
      </c>
      <c r="N42" s="2" t="s">
        <v>203</v>
      </c>
      <c r="O42" s="2" t="s">
        <v>51</v>
      </c>
      <c r="P42" s="2" t="s">
        <v>51</v>
      </c>
      <c r="Q42" s="2" t="s">
        <v>54</v>
      </c>
      <c r="R42" s="2" t="s">
        <v>61</v>
      </c>
      <c r="S42" s="2" t="s">
        <v>61</v>
      </c>
      <c r="T42" s="2" t="s">
        <v>60</v>
      </c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2" t="s">
        <v>51</v>
      </c>
      <c r="AS42" s="2" t="s">
        <v>51</v>
      </c>
      <c r="AT42" s="3"/>
      <c r="AU42" s="2" t="s">
        <v>204</v>
      </c>
      <c r="AV42" s="3">
        <v>6</v>
      </c>
      <c r="AW42" t="str">
        <f t="shared" si="4"/>
        <v>방화실리콘 실란트 300ml</v>
      </c>
    </row>
    <row r="43" spans="1:49" ht="30" hidden="1" customHeight="1" x14ac:dyDescent="0.3">
      <c r="A43" s="17" t="s">
        <v>205</v>
      </c>
      <c r="B43" s="17" t="s">
        <v>51</v>
      </c>
      <c r="C43" s="17" t="s">
        <v>132</v>
      </c>
      <c r="D43" s="41">
        <v>10</v>
      </c>
      <c r="E43" s="16">
        <f>TRUNC(단가대비표!O28,0)</f>
        <v>640</v>
      </c>
      <c r="F43" s="16">
        <f t="shared" si="0"/>
        <v>6400</v>
      </c>
      <c r="G43" s="16">
        <f>TRUNC(단가대비표!P28,0)</f>
        <v>0</v>
      </c>
      <c r="H43" s="16">
        <f t="shared" si="1"/>
        <v>0</v>
      </c>
      <c r="I43" s="16">
        <f>TRUNC(단가대비표!V28,0)</f>
        <v>0</v>
      </c>
      <c r="J43" s="16">
        <f t="shared" si="2"/>
        <v>0</v>
      </c>
      <c r="K43" s="16">
        <f t="shared" si="3"/>
        <v>640</v>
      </c>
      <c r="L43" s="16">
        <f t="shared" si="3"/>
        <v>6400</v>
      </c>
      <c r="M43" s="17" t="s">
        <v>206</v>
      </c>
      <c r="N43" s="2" t="s">
        <v>207</v>
      </c>
      <c r="O43" s="2" t="s">
        <v>51</v>
      </c>
      <c r="P43" s="2" t="s">
        <v>51</v>
      </c>
      <c r="Q43" s="2" t="s">
        <v>54</v>
      </c>
      <c r="R43" s="2" t="s">
        <v>61</v>
      </c>
      <c r="S43" s="2" t="s">
        <v>61</v>
      </c>
      <c r="T43" s="2" t="s">
        <v>60</v>
      </c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2" t="s">
        <v>51</v>
      </c>
      <c r="AS43" s="2" t="s">
        <v>51</v>
      </c>
      <c r="AT43" s="3"/>
      <c r="AU43" s="2" t="s">
        <v>208</v>
      </c>
      <c r="AV43" s="3">
        <v>7</v>
      </c>
      <c r="AW43" t="str">
        <f t="shared" si="4"/>
        <v xml:space="preserve">PVC 파이프 캡 </v>
      </c>
    </row>
    <row r="44" spans="1:49" ht="30" hidden="1" customHeight="1" x14ac:dyDescent="0.3">
      <c r="A44" s="17" t="s">
        <v>209</v>
      </c>
      <c r="B44" s="17" t="s">
        <v>210</v>
      </c>
      <c r="C44" s="17" t="s">
        <v>211</v>
      </c>
      <c r="D44" s="41">
        <v>1</v>
      </c>
      <c r="E44" s="16">
        <f>TRUNC(단가대비표!O40,0)</f>
        <v>0</v>
      </c>
      <c r="F44" s="16">
        <f t="shared" si="0"/>
        <v>0</v>
      </c>
      <c r="G44" s="16">
        <f>TRUNC(단가대비표!P40,0)</f>
        <v>0</v>
      </c>
      <c r="H44" s="16">
        <f t="shared" si="1"/>
        <v>0</v>
      </c>
      <c r="I44" s="16">
        <f>TRUNC(단가대비표!V40,0)</f>
        <v>195900</v>
      </c>
      <c r="J44" s="16">
        <f t="shared" si="2"/>
        <v>195900</v>
      </c>
      <c r="K44" s="16">
        <f t="shared" si="3"/>
        <v>195900</v>
      </c>
      <c r="L44" s="16">
        <f t="shared" si="3"/>
        <v>195900</v>
      </c>
      <c r="M44" s="17" t="s">
        <v>212</v>
      </c>
      <c r="N44" s="2" t="s">
        <v>213</v>
      </c>
      <c r="O44" s="2" t="s">
        <v>51</v>
      </c>
      <c r="P44" s="2" t="s">
        <v>51</v>
      </c>
      <c r="Q44" s="2" t="s">
        <v>54</v>
      </c>
      <c r="R44" s="2" t="s">
        <v>61</v>
      </c>
      <c r="S44" s="2" t="s">
        <v>61</v>
      </c>
      <c r="T44" s="2" t="s">
        <v>60</v>
      </c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2" t="s">
        <v>51</v>
      </c>
      <c r="AS44" s="2" t="s">
        <v>51</v>
      </c>
      <c r="AT44" s="3"/>
      <c r="AU44" s="2" t="s">
        <v>214</v>
      </c>
      <c r="AV44" s="3">
        <v>9</v>
      </c>
      <c r="AW44" t="str">
        <f t="shared" si="4"/>
        <v>화물트럭 운반비 1TON 기준</v>
      </c>
    </row>
    <row r="45" spans="1:49" ht="30" hidden="1" customHeight="1" x14ac:dyDescent="0.3">
      <c r="A45" s="17" t="s">
        <v>215</v>
      </c>
      <c r="B45" s="17" t="s">
        <v>51</v>
      </c>
      <c r="C45" s="17" t="s">
        <v>216</v>
      </c>
      <c r="D45" s="41">
        <v>1</v>
      </c>
      <c r="E45" s="16">
        <f>TRUNC(단가대비표!O45,0)</f>
        <v>781000</v>
      </c>
      <c r="F45" s="16">
        <f t="shared" si="0"/>
        <v>781000</v>
      </c>
      <c r="G45" s="16">
        <f>TRUNC(단가대비표!P45,0)</f>
        <v>0</v>
      </c>
      <c r="H45" s="16">
        <f t="shared" si="1"/>
        <v>0</v>
      </c>
      <c r="I45" s="16">
        <f>TRUNC(단가대비표!V45,0)</f>
        <v>0</v>
      </c>
      <c r="J45" s="16">
        <f t="shared" si="2"/>
        <v>0</v>
      </c>
      <c r="K45" s="16">
        <f t="shared" si="3"/>
        <v>781000</v>
      </c>
      <c r="L45" s="16">
        <f t="shared" si="3"/>
        <v>781000</v>
      </c>
      <c r="M45" s="17" t="s">
        <v>217</v>
      </c>
      <c r="N45" s="2" t="s">
        <v>218</v>
      </c>
      <c r="O45" s="2" t="s">
        <v>51</v>
      </c>
      <c r="P45" s="2" t="s">
        <v>51</v>
      </c>
      <c r="Q45" s="2" t="s">
        <v>54</v>
      </c>
      <c r="R45" s="2" t="s">
        <v>61</v>
      </c>
      <c r="S45" s="2" t="s">
        <v>61</v>
      </c>
      <c r="T45" s="2" t="s">
        <v>60</v>
      </c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2" t="s">
        <v>51</v>
      </c>
      <c r="AS45" s="2" t="s">
        <v>51</v>
      </c>
      <c r="AT45" s="3"/>
      <c r="AU45" s="2" t="s">
        <v>219</v>
      </c>
      <c r="AV45" s="3">
        <v>10</v>
      </c>
      <c r="AW45" t="str">
        <f t="shared" si="4"/>
        <v xml:space="preserve">방화포 </v>
      </c>
    </row>
    <row r="46" spans="1:49" ht="30" hidden="1" customHeight="1" x14ac:dyDescent="0.3">
      <c r="A46" s="15" t="s">
        <v>1303</v>
      </c>
      <c r="B46" s="15" t="s">
        <v>1304</v>
      </c>
      <c r="C46" s="15" t="s">
        <v>1305</v>
      </c>
      <c r="D46" s="41">
        <v>1</v>
      </c>
      <c r="E46" s="16">
        <f>H62*0.03</f>
        <v>0</v>
      </c>
      <c r="F46" s="16">
        <f t="shared" si="0"/>
        <v>0</v>
      </c>
      <c r="G46" s="16"/>
      <c r="H46" s="16"/>
      <c r="I46" s="16"/>
      <c r="J46" s="16"/>
      <c r="K46" s="16"/>
      <c r="L46" s="16">
        <f t="shared" ref="L46" si="5">TRUNC(F46+H46+J46, 0)</f>
        <v>0</v>
      </c>
      <c r="M46" s="15"/>
      <c r="Q46" s="9" t="s">
        <v>54</v>
      </c>
      <c r="AW46" t="str">
        <f t="shared" si="4"/>
        <v>공구손료 노무비의 3%</v>
      </c>
    </row>
    <row r="47" spans="1:49" ht="30" hidden="1" customHeight="1" x14ac:dyDescent="0.3">
      <c r="A47" s="15"/>
      <c r="B47" s="15"/>
      <c r="C47" s="15"/>
      <c r="D47" s="41"/>
      <c r="E47" s="16"/>
      <c r="F47" s="16"/>
      <c r="G47" s="16"/>
      <c r="H47" s="16"/>
      <c r="I47" s="16"/>
      <c r="J47" s="16"/>
      <c r="K47" s="16"/>
      <c r="L47" s="16"/>
      <c r="M47" s="15"/>
      <c r="Q47" s="9" t="s">
        <v>54</v>
      </c>
      <c r="AW47" t="str">
        <f t="shared" si="4"/>
        <v xml:space="preserve"> </v>
      </c>
    </row>
    <row r="48" spans="1:49" ht="30" hidden="1" customHeight="1" x14ac:dyDescent="0.3">
      <c r="A48" s="15"/>
      <c r="B48" s="15"/>
      <c r="C48" s="15"/>
      <c r="D48" s="41"/>
      <c r="E48" s="16"/>
      <c r="F48" s="16"/>
      <c r="G48" s="16"/>
      <c r="H48" s="16"/>
      <c r="I48" s="16"/>
      <c r="J48" s="16"/>
      <c r="K48" s="16"/>
      <c r="L48" s="16"/>
      <c r="M48" s="15"/>
      <c r="Q48" s="9" t="s">
        <v>54</v>
      </c>
      <c r="AW48" t="str">
        <f t="shared" si="4"/>
        <v xml:space="preserve"> </v>
      </c>
    </row>
    <row r="49" spans="1:49" ht="30" hidden="1" customHeight="1" x14ac:dyDescent="0.3">
      <c r="A49" s="15"/>
      <c r="B49" s="15"/>
      <c r="C49" s="15"/>
      <c r="D49" s="41"/>
      <c r="E49" s="16"/>
      <c r="F49" s="16"/>
      <c r="G49" s="16"/>
      <c r="H49" s="16"/>
      <c r="I49" s="16"/>
      <c r="J49" s="16"/>
      <c r="K49" s="16"/>
      <c r="L49" s="16"/>
      <c r="M49" s="15"/>
      <c r="Q49" s="9" t="s">
        <v>54</v>
      </c>
      <c r="AW49" t="str">
        <f t="shared" si="4"/>
        <v xml:space="preserve"> </v>
      </c>
    </row>
    <row r="50" spans="1:49" ht="30" hidden="1" customHeight="1" x14ac:dyDescent="0.3">
      <c r="A50" s="15"/>
      <c r="B50" s="15"/>
      <c r="C50" s="15"/>
      <c r="D50" s="41"/>
      <c r="E50" s="16"/>
      <c r="F50" s="16"/>
      <c r="G50" s="16"/>
      <c r="H50" s="16"/>
      <c r="I50" s="16"/>
      <c r="J50" s="16"/>
      <c r="K50" s="16"/>
      <c r="L50" s="16"/>
      <c r="M50" s="15"/>
      <c r="Q50" s="9" t="s">
        <v>54</v>
      </c>
      <c r="AW50" t="str">
        <f t="shared" si="4"/>
        <v xml:space="preserve"> </v>
      </c>
    </row>
    <row r="51" spans="1:49" ht="30" hidden="1" customHeight="1" x14ac:dyDescent="0.3">
      <c r="A51" s="15"/>
      <c r="B51" s="15"/>
      <c r="C51" s="15"/>
      <c r="D51" s="41"/>
      <c r="E51" s="16"/>
      <c r="F51" s="16"/>
      <c r="G51" s="16"/>
      <c r="H51" s="16"/>
      <c r="I51" s="16"/>
      <c r="J51" s="16"/>
      <c r="K51" s="16"/>
      <c r="L51" s="16"/>
      <c r="M51" s="15"/>
      <c r="Q51" s="9" t="s">
        <v>54</v>
      </c>
      <c r="AW51" t="str">
        <f t="shared" si="4"/>
        <v xml:space="preserve"> </v>
      </c>
    </row>
    <row r="52" spans="1:49" ht="30" hidden="1" customHeight="1" x14ac:dyDescent="0.3">
      <c r="A52" s="15"/>
      <c r="B52" s="15"/>
      <c r="C52" s="15"/>
      <c r="D52" s="41"/>
      <c r="E52" s="16"/>
      <c r="F52" s="16"/>
      <c r="G52" s="16"/>
      <c r="H52" s="16"/>
      <c r="I52" s="16"/>
      <c r="J52" s="16"/>
      <c r="K52" s="16"/>
      <c r="L52" s="16"/>
      <c r="M52" s="15"/>
      <c r="Q52" s="9" t="s">
        <v>54</v>
      </c>
      <c r="AW52" t="str">
        <f t="shared" si="4"/>
        <v xml:space="preserve"> </v>
      </c>
    </row>
    <row r="53" spans="1:49" ht="30" hidden="1" customHeight="1" x14ac:dyDescent="0.3">
      <c r="A53" s="15"/>
      <c r="B53" s="15"/>
      <c r="C53" s="15"/>
      <c r="D53" s="41"/>
      <c r="E53" s="16"/>
      <c r="F53" s="16"/>
      <c r="G53" s="16"/>
      <c r="H53" s="16"/>
      <c r="I53" s="16"/>
      <c r="J53" s="16"/>
      <c r="K53" s="16"/>
      <c r="L53" s="16"/>
      <c r="M53" s="15"/>
      <c r="Q53" s="9" t="s">
        <v>54</v>
      </c>
      <c r="AW53" t="str">
        <f t="shared" si="4"/>
        <v xml:space="preserve"> </v>
      </c>
    </row>
    <row r="54" spans="1:49" ht="30" hidden="1" customHeight="1" x14ac:dyDescent="0.3">
      <c r="A54" s="15"/>
      <c r="B54" s="15"/>
      <c r="C54" s="15"/>
      <c r="D54" s="41"/>
      <c r="E54" s="16"/>
      <c r="F54" s="16"/>
      <c r="G54" s="16"/>
      <c r="H54" s="16"/>
      <c r="I54" s="16"/>
      <c r="J54" s="16"/>
      <c r="K54" s="16"/>
      <c r="L54" s="16"/>
      <c r="M54" s="15"/>
      <c r="Q54" s="9" t="s">
        <v>54</v>
      </c>
      <c r="AW54" t="str">
        <f t="shared" si="4"/>
        <v xml:space="preserve"> </v>
      </c>
    </row>
    <row r="55" spans="1:49" ht="30" hidden="1" customHeight="1" x14ac:dyDescent="0.3">
      <c r="A55" s="15"/>
      <c r="B55" s="15"/>
      <c r="C55" s="15"/>
      <c r="D55" s="41"/>
      <c r="E55" s="16"/>
      <c r="F55" s="16"/>
      <c r="G55" s="16"/>
      <c r="H55" s="16"/>
      <c r="I55" s="16"/>
      <c r="J55" s="16"/>
      <c r="K55" s="16"/>
      <c r="L55" s="16"/>
      <c r="M55" s="15"/>
      <c r="Q55" s="9" t="s">
        <v>54</v>
      </c>
      <c r="AW55" t="str">
        <f t="shared" si="4"/>
        <v xml:space="preserve"> </v>
      </c>
    </row>
    <row r="56" spans="1:49" ht="30" hidden="1" customHeight="1" x14ac:dyDescent="0.3">
      <c r="A56" s="15"/>
      <c r="B56" s="15"/>
      <c r="C56" s="15"/>
      <c r="D56" s="41"/>
      <c r="E56" s="16"/>
      <c r="F56" s="16"/>
      <c r="G56" s="16"/>
      <c r="H56" s="16"/>
      <c r="I56" s="16"/>
      <c r="J56" s="16"/>
      <c r="K56" s="16"/>
      <c r="L56" s="16"/>
      <c r="M56" s="15"/>
      <c r="Q56" s="9" t="s">
        <v>54</v>
      </c>
      <c r="AW56" t="str">
        <f t="shared" si="4"/>
        <v xml:space="preserve"> </v>
      </c>
    </row>
    <row r="57" spans="1:49" ht="30" hidden="1" customHeight="1" x14ac:dyDescent="0.3">
      <c r="A57" s="15"/>
      <c r="B57" s="15"/>
      <c r="C57" s="15"/>
      <c r="D57" s="41"/>
      <c r="E57" s="16"/>
      <c r="F57" s="16"/>
      <c r="G57" s="16"/>
      <c r="H57" s="16"/>
      <c r="I57" s="16"/>
      <c r="J57" s="16"/>
      <c r="K57" s="16"/>
      <c r="L57" s="16"/>
      <c r="M57" s="15"/>
      <c r="Q57" s="9" t="s">
        <v>54</v>
      </c>
      <c r="AW57" t="str">
        <f t="shared" si="4"/>
        <v xml:space="preserve"> </v>
      </c>
    </row>
    <row r="58" spans="1:49" ht="30" hidden="1" customHeight="1" x14ac:dyDescent="0.3">
      <c r="A58" s="15"/>
      <c r="B58" s="15"/>
      <c r="C58" s="15"/>
      <c r="D58" s="41"/>
      <c r="E58" s="16"/>
      <c r="F58" s="16"/>
      <c r="G58" s="16"/>
      <c r="H58" s="16"/>
      <c r="I58" s="16"/>
      <c r="J58" s="16"/>
      <c r="K58" s="16"/>
      <c r="L58" s="16"/>
      <c r="M58" s="15"/>
      <c r="Q58" s="9" t="s">
        <v>54</v>
      </c>
      <c r="AW58" t="str">
        <f t="shared" si="4"/>
        <v xml:space="preserve"> </v>
      </c>
    </row>
    <row r="59" spans="1:49" ht="30" hidden="1" customHeight="1" x14ac:dyDescent="0.3">
      <c r="A59" s="15"/>
      <c r="B59" s="15"/>
      <c r="C59" s="15"/>
      <c r="D59" s="41"/>
      <c r="E59" s="16"/>
      <c r="F59" s="16"/>
      <c r="G59" s="16"/>
      <c r="H59" s="16"/>
      <c r="I59" s="16"/>
      <c r="J59" s="16"/>
      <c r="K59" s="16"/>
      <c r="L59" s="16"/>
      <c r="M59" s="15"/>
      <c r="Q59" s="9" t="s">
        <v>54</v>
      </c>
      <c r="AW59" t="str">
        <f t="shared" si="4"/>
        <v xml:space="preserve"> </v>
      </c>
    </row>
    <row r="60" spans="1:49" ht="30" hidden="1" customHeight="1" x14ac:dyDescent="0.3">
      <c r="A60" s="15"/>
      <c r="B60" s="15"/>
      <c r="C60" s="15"/>
      <c r="D60" s="41"/>
      <c r="E60" s="16"/>
      <c r="F60" s="16"/>
      <c r="G60" s="16"/>
      <c r="H60" s="16"/>
      <c r="I60" s="16"/>
      <c r="J60" s="16"/>
      <c r="K60" s="16"/>
      <c r="L60" s="16"/>
      <c r="M60" s="15"/>
      <c r="Q60" s="9" t="s">
        <v>54</v>
      </c>
      <c r="AW60" t="str">
        <f t="shared" si="4"/>
        <v xml:space="preserve"> </v>
      </c>
    </row>
    <row r="61" spans="1:49" ht="30" hidden="1" customHeight="1" x14ac:dyDescent="0.3">
      <c r="A61" s="15"/>
      <c r="B61" s="15"/>
      <c r="C61" s="15"/>
      <c r="D61" s="41"/>
      <c r="E61" s="16"/>
      <c r="F61" s="16"/>
      <c r="G61" s="16"/>
      <c r="H61" s="16"/>
      <c r="I61" s="16"/>
      <c r="J61" s="16"/>
      <c r="K61" s="16"/>
      <c r="L61" s="16"/>
      <c r="M61" s="15"/>
      <c r="Q61" s="9" t="s">
        <v>54</v>
      </c>
      <c r="AW61" t="str">
        <f t="shared" si="4"/>
        <v xml:space="preserve"> </v>
      </c>
    </row>
    <row r="62" spans="1:49" ht="30" hidden="1" customHeight="1" x14ac:dyDescent="0.3">
      <c r="A62" s="17" t="s">
        <v>220</v>
      </c>
      <c r="B62" s="15"/>
      <c r="C62" s="15"/>
      <c r="D62" s="41"/>
      <c r="E62" s="16"/>
      <c r="F62" s="16">
        <f>SUMIF(Q5:Q61,"0101",F5:F61)</f>
        <v>930400</v>
      </c>
      <c r="G62" s="16"/>
      <c r="H62" s="16">
        <f>SUMIF(Q5:Q61,"0101",H5:H61)</f>
        <v>0</v>
      </c>
      <c r="I62" s="16"/>
      <c r="J62" s="16">
        <f>SUMIF(Q5:Q61,"0101",J5:J61)</f>
        <v>195900</v>
      </c>
      <c r="K62" s="16"/>
      <c r="L62" s="16">
        <f>SUMIF(Q5:Q61,"0101",L5:L61)</f>
        <v>1126300</v>
      </c>
      <c r="M62" s="15"/>
      <c r="N62" t="s">
        <v>221</v>
      </c>
      <c r="AW62" t="str">
        <f t="shared" si="4"/>
        <v xml:space="preserve">[ 합           계 ] </v>
      </c>
    </row>
    <row r="63" spans="1:49" ht="30" customHeight="1" x14ac:dyDescent="0.3">
      <c r="A63" s="17" t="s">
        <v>222</v>
      </c>
      <c r="B63" s="17" t="s">
        <v>51</v>
      </c>
      <c r="C63" s="15"/>
      <c r="D63" s="41"/>
      <c r="E63" s="16"/>
      <c r="F63" s="16"/>
      <c r="G63" s="16"/>
      <c r="H63" s="16"/>
      <c r="I63" s="16"/>
      <c r="J63" s="16"/>
      <c r="K63" s="16"/>
      <c r="L63" s="16"/>
      <c r="M63" s="15"/>
      <c r="N63" s="3"/>
      <c r="O63" s="3"/>
      <c r="P63" s="3"/>
      <c r="Q63" s="2" t="s">
        <v>223</v>
      </c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t="str">
        <f t="shared" si="4"/>
        <v xml:space="preserve">0102  할로겐소화약제설비공사 </v>
      </c>
    </row>
    <row r="64" spans="1:49" ht="30" customHeight="1" x14ac:dyDescent="0.3">
      <c r="A64" s="17" t="s">
        <v>224</v>
      </c>
      <c r="B64" s="17" t="s">
        <v>225</v>
      </c>
      <c r="C64" s="17" t="s">
        <v>226</v>
      </c>
      <c r="D64" s="41"/>
      <c r="E64" s="16"/>
      <c r="F64" s="16"/>
      <c r="G64" s="16"/>
      <c r="H64" s="16"/>
      <c r="I64" s="16"/>
      <c r="J64" s="16"/>
      <c r="K64" s="16"/>
      <c r="L64" s="16"/>
      <c r="M64" s="17" t="s">
        <v>227</v>
      </c>
      <c r="N64" s="2" t="s">
        <v>228</v>
      </c>
      <c r="O64" s="2" t="s">
        <v>51</v>
      </c>
      <c r="P64" s="2" t="s">
        <v>51</v>
      </c>
      <c r="Q64" s="2" t="s">
        <v>223</v>
      </c>
      <c r="R64" s="2" t="s">
        <v>61</v>
      </c>
      <c r="S64" s="2" t="s">
        <v>61</v>
      </c>
      <c r="T64" s="2" t="s">
        <v>60</v>
      </c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2" t="s">
        <v>51</v>
      </c>
      <c r="AS64" s="2" t="s">
        <v>51</v>
      </c>
      <c r="AT64" s="3"/>
      <c r="AU64" s="2" t="s">
        <v>229</v>
      </c>
      <c r="AV64" s="3">
        <v>40</v>
      </c>
      <c r="AW64" t="str">
        <f t="shared" si="4"/>
        <v>AnyFire(FK-5-1-12) 모듈러 82.5L/90KG/2BT</v>
      </c>
    </row>
    <row r="65" spans="1:49" ht="30" customHeight="1" x14ac:dyDescent="0.3">
      <c r="A65" s="17" t="s">
        <v>224</v>
      </c>
      <c r="B65" s="17" t="s">
        <v>230</v>
      </c>
      <c r="C65" s="17" t="s">
        <v>226</v>
      </c>
      <c r="D65" s="41"/>
      <c r="E65" s="16"/>
      <c r="F65" s="16"/>
      <c r="G65" s="16"/>
      <c r="H65" s="16"/>
      <c r="I65" s="16"/>
      <c r="J65" s="16"/>
      <c r="K65" s="16"/>
      <c r="L65" s="16"/>
      <c r="M65" s="17" t="s">
        <v>231</v>
      </c>
      <c r="N65" s="2" t="s">
        <v>232</v>
      </c>
      <c r="O65" s="2" t="s">
        <v>51</v>
      </c>
      <c r="P65" s="2" t="s">
        <v>51</v>
      </c>
      <c r="Q65" s="2" t="s">
        <v>223</v>
      </c>
      <c r="R65" s="2" t="s">
        <v>61</v>
      </c>
      <c r="S65" s="2" t="s">
        <v>61</v>
      </c>
      <c r="T65" s="2" t="s">
        <v>60</v>
      </c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2" t="s">
        <v>51</v>
      </c>
      <c r="AS65" s="2" t="s">
        <v>51</v>
      </c>
      <c r="AT65" s="3"/>
      <c r="AU65" s="2" t="s">
        <v>233</v>
      </c>
      <c r="AV65" s="3">
        <v>41</v>
      </c>
      <c r="AW65" t="str">
        <f t="shared" si="4"/>
        <v>AnyFire(FK-5-1-12) 모듈러 82.5L/80KG/2BT</v>
      </c>
    </row>
    <row r="66" spans="1:49" ht="30" customHeight="1" x14ac:dyDescent="0.3">
      <c r="A66" s="17" t="s">
        <v>224</v>
      </c>
      <c r="B66" s="17" t="s">
        <v>234</v>
      </c>
      <c r="C66" s="17" t="s">
        <v>226</v>
      </c>
      <c r="D66" s="41"/>
      <c r="E66" s="16"/>
      <c r="F66" s="16"/>
      <c r="G66" s="16"/>
      <c r="H66" s="16"/>
      <c r="I66" s="16"/>
      <c r="J66" s="16"/>
      <c r="K66" s="16"/>
      <c r="L66" s="16"/>
      <c r="M66" s="17" t="s">
        <v>235</v>
      </c>
      <c r="N66" s="2" t="s">
        <v>236</v>
      </c>
      <c r="O66" s="2" t="s">
        <v>51</v>
      </c>
      <c r="P66" s="2" t="s">
        <v>51</v>
      </c>
      <c r="Q66" s="2" t="s">
        <v>223</v>
      </c>
      <c r="R66" s="2" t="s">
        <v>61</v>
      </c>
      <c r="S66" s="2" t="s">
        <v>61</v>
      </c>
      <c r="T66" s="2" t="s">
        <v>60</v>
      </c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2" t="s">
        <v>51</v>
      </c>
      <c r="AS66" s="2" t="s">
        <v>51</v>
      </c>
      <c r="AT66" s="3"/>
      <c r="AU66" s="2" t="s">
        <v>237</v>
      </c>
      <c r="AV66" s="3">
        <v>42</v>
      </c>
      <c r="AW66" t="str">
        <f t="shared" si="4"/>
        <v>AnyFire(FK-5-1-12) 모듈러 82.5L/70KG/2BT</v>
      </c>
    </row>
    <row r="67" spans="1:49" ht="30" customHeight="1" x14ac:dyDescent="0.3">
      <c r="A67" s="17" t="s">
        <v>224</v>
      </c>
      <c r="B67" s="17" t="s">
        <v>238</v>
      </c>
      <c r="C67" s="17" t="s">
        <v>226</v>
      </c>
      <c r="D67" s="41"/>
      <c r="E67" s="16"/>
      <c r="F67" s="16"/>
      <c r="G67" s="16"/>
      <c r="H67" s="16"/>
      <c r="I67" s="16"/>
      <c r="J67" s="16"/>
      <c r="K67" s="16"/>
      <c r="L67" s="16"/>
      <c r="M67" s="17" t="s">
        <v>239</v>
      </c>
      <c r="N67" s="2" t="s">
        <v>240</v>
      </c>
      <c r="O67" s="2" t="s">
        <v>51</v>
      </c>
      <c r="P67" s="2" t="s">
        <v>51</v>
      </c>
      <c r="Q67" s="2" t="s">
        <v>223</v>
      </c>
      <c r="R67" s="2" t="s">
        <v>61</v>
      </c>
      <c r="S67" s="2" t="s">
        <v>61</v>
      </c>
      <c r="T67" s="2" t="s">
        <v>60</v>
      </c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2" t="s">
        <v>51</v>
      </c>
      <c r="AS67" s="2" t="s">
        <v>51</v>
      </c>
      <c r="AT67" s="3"/>
      <c r="AU67" s="2" t="s">
        <v>241</v>
      </c>
      <c r="AV67" s="3">
        <v>43</v>
      </c>
      <c r="AW67" t="str">
        <f t="shared" si="4"/>
        <v>AnyFire(FK-5-1-12) 모듈러 82.5L/70KG/1BT</v>
      </c>
    </row>
    <row r="68" spans="1:49" ht="30" customHeight="1" x14ac:dyDescent="0.3">
      <c r="A68" s="17" t="s">
        <v>224</v>
      </c>
      <c r="B68" s="17" t="s">
        <v>242</v>
      </c>
      <c r="C68" s="17" t="s">
        <v>226</v>
      </c>
      <c r="D68" s="41"/>
      <c r="E68" s="16"/>
      <c r="F68" s="16"/>
      <c r="G68" s="16"/>
      <c r="H68" s="16"/>
      <c r="I68" s="16"/>
      <c r="J68" s="16"/>
      <c r="K68" s="16"/>
      <c r="L68" s="16"/>
      <c r="M68" s="17" t="s">
        <v>243</v>
      </c>
      <c r="N68" s="2" t="s">
        <v>244</v>
      </c>
      <c r="O68" s="2" t="s">
        <v>51</v>
      </c>
      <c r="P68" s="2" t="s">
        <v>51</v>
      </c>
      <c r="Q68" s="2" t="s">
        <v>223</v>
      </c>
      <c r="R68" s="2" t="s">
        <v>61</v>
      </c>
      <c r="S68" s="2" t="s">
        <v>61</v>
      </c>
      <c r="T68" s="2" t="s">
        <v>60</v>
      </c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2" t="s">
        <v>51</v>
      </c>
      <c r="AS68" s="2" t="s">
        <v>51</v>
      </c>
      <c r="AT68" s="3"/>
      <c r="AU68" s="2" t="s">
        <v>245</v>
      </c>
      <c r="AV68" s="3">
        <v>44</v>
      </c>
      <c r="AW68" t="str">
        <f t="shared" si="4"/>
        <v>AnyFire(FK-5-1-12) 모듈러 82.5L/60KG/1BT</v>
      </c>
    </row>
    <row r="69" spans="1:49" ht="30" customHeight="1" x14ac:dyDescent="0.3">
      <c r="A69" s="17" t="s">
        <v>246</v>
      </c>
      <c r="B69" s="17" t="s">
        <v>151</v>
      </c>
      <c r="C69" s="17" t="s">
        <v>187</v>
      </c>
      <c r="D69" s="41"/>
      <c r="E69" s="16"/>
      <c r="F69" s="16"/>
      <c r="G69" s="105"/>
      <c r="H69" s="105"/>
      <c r="I69" s="16"/>
      <c r="J69" s="16"/>
      <c r="K69" s="16"/>
      <c r="L69" s="16"/>
      <c r="M69" s="17" t="s">
        <v>247</v>
      </c>
      <c r="N69" s="2" t="s">
        <v>248</v>
      </c>
      <c r="O69" s="2" t="s">
        <v>51</v>
      </c>
      <c r="P69" s="2" t="s">
        <v>51</v>
      </c>
      <c r="Q69" s="2" t="s">
        <v>223</v>
      </c>
      <c r="R69" s="2" t="s">
        <v>61</v>
      </c>
      <c r="S69" s="2" t="s">
        <v>61</v>
      </c>
      <c r="T69" s="2" t="s">
        <v>60</v>
      </c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2" t="s">
        <v>51</v>
      </c>
      <c r="AS69" s="2" t="s">
        <v>51</v>
      </c>
      <c r="AT69" s="3"/>
      <c r="AU69" s="2" t="s">
        <v>249</v>
      </c>
      <c r="AV69" s="3">
        <v>45</v>
      </c>
      <c r="AW69" t="str">
        <f t="shared" si="4"/>
        <v>솔레노이드밸브 DC-24V</v>
      </c>
    </row>
    <row r="70" spans="1:49" ht="30" customHeight="1" x14ac:dyDescent="0.3">
      <c r="A70" s="17" t="s">
        <v>250</v>
      </c>
      <c r="B70" s="17" t="s">
        <v>251</v>
      </c>
      <c r="C70" s="17" t="s">
        <v>187</v>
      </c>
      <c r="D70" s="41"/>
      <c r="E70" s="16"/>
      <c r="F70" s="16"/>
      <c r="G70" s="105"/>
      <c r="H70" s="105"/>
      <c r="I70" s="16"/>
      <c r="J70" s="16"/>
      <c r="K70" s="16"/>
      <c r="L70" s="16"/>
      <c r="M70" s="17" t="s">
        <v>252</v>
      </c>
      <c r="N70" s="2" t="s">
        <v>253</v>
      </c>
      <c r="O70" s="2" t="s">
        <v>51</v>
      </c>
      <c r="P70" s="2" t="s">
        <v>51</v>
      </c>
      <c r="Q70" s="2" t="s">
        <v>223</v>
      </c>
      <c r="R70" s="2" t="s">
        <v>61</v>
      </c>
      <c r="S70" s="2" t="s">
        <v>61</v>
      </c>
      <c r="T70" s="2" t="s">
        <v>60</v>
      </c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2" t="s">
        <v>51</v>
      </c>
      <c r="AS70" s="2" t="s">
        <v>51</v>
      </c>
      <c r="AT70" s="3"/>
      <c r="AU70" s="2" t="s">
        <v>254</v>
      </c>
      <c r="AV70" s="3">
        <v>46</v>
      </c>
      <c r="AW70" t="str">
        <f t="shared" ref="AW70:AW133" si="6">CONCATENATE(A70," ",B70)</f>
        <v>니들밸브 6A</v>
      </c>
    </row>
    <row r="71" spans="1:49" ht="30" customHeight="1" x14ac:dyDescent="0.3">
      <c r="A71" s="17" t="s">
        <v>255</v>
      </c>
      <c r="B71" s="17" t="s">
        <v>256</v>
      </c>
      <c r="C71" s="17" t="s">
        <v>187</v>
      </c>
      <c r="D71" s="41"/>
      <c r="E71" s="16"/>
      <c r="F71" s="16"/>
      <c r="G71" s="16"/>
      <c r="H71" s="16"/>
      <c r="I71" s="16"/>
      <c r="J71" s="16"/>
      <c r="K71" s="16"/>
      <c r="L71" s="16"/>
      <c r="M71" s="17" t="s">
        <v>257</v>
      </c>
      <c r="N71" s="2" t="s">
        <v>258</v>
      </c>
      <c r="O71" s="2" t="s">
        <v>51</v>
      </c>
      <c r="P71" s="2" t="s">
        <v>51</v>
      </c>
      <c r="Q71" s="2" t="s">
        <v>223</v>
      </c>
      <c r="R71" s="2" t="s">
        <v>61</v>
      </c>
      <c r="S71" s="2" t="s">
        <v>61</v>
      </c>
      <c r="T71" s="2" t="s">
        <v>60</v>
      </c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2" t="s">
        <v>51</v>
      </c>
      <c r="AS71" s="2" t="s">
        <v>51</v>
      </c>
      <c r="AT71" s="3"/>
      <c r="AU71" s="2" t="s">
        <v>259</v>
      </c>
      <c r="AV71" s="3">
        <v>47</v>
      </c>
      <c r="AW71" t="str">
        <f t="shared" si="6"/>
        <v>내진가대(기본형) 모듈러 -2BT</v>
      </c>
    </row>
    <row r="72" spans="1:49" ht="30" customHeight="1" x14ac:dyDescent="0.3">
      <c r="A72" s="17" t="s">
        <v>255</v>
      </c>
      <c r="B72" s="17" t="s">
        <v>260</v>
      </c>
      <c r="C72" s="17" t="s">
        <v>187</v>
      </c>
      <c r="D72" s="41"/>
      <c r="E72" s="16"/>
      <c r="F72" s="16"/>
      <c r="G72" s="16"/>
      <c r="H72" s="16"/>
      <c r="I72" s="16"/>
      <c r="J72" s="16"/>
      <c r="K72" s="16"/>
      <c r="L72" s="16"/>
      <c r="M72" s="17" t="s">
        <v>261</v>
      </c>
      <c r="N72" s="2" t="s">
        <v>262</v>
      </c>
      <c r="O72" s="2" t="s">
        <v>51</v>
      </c>
      <c r="P72" s="2" t="s">
        <v>51</v>
      </c>
      <c r="Q72" s="2" t="s">
        <v>223</v>
      </c>
      <c r="R72" s="2" t="s">
        <v>61</v>
      </c>
      <c r="S72" s="2" t="s">
        <v>61</v>
      </c>
      <c r="T72" s="2" t="s">
        <v>60</v>
      </c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2" t="s">
        <v>51</v>
      </c>
      <c r="AS72" s="2" t="s">
        <v>51</v>
      </c>
      <c r="AT72" s="3"/>
      <c r="AU72" s="2" t="s">
        <v>263</v>
      </c>
      <c r="AV72" s="3">
        <v>48</v>
      </c>
      <c r="AW72" t="str">
        <f t="shared" si="6"/>
        <v>내진가대(기본형) 모듈러 -1BT</v>
      </c>
    </row>
    <row r="73" spans="1:49" ht="30" customHeight="1" x14ac:dyDescent="0.3">
      <c r="A73" s="17" t="s">
        <v>264</v>
      </c>
      <c r="B73" s="17" t="s">
        <v>265</v>
      </c>
      <c r="C73" s="17" t="s">
        <v>187</v>
      </c>
      <c r="D73" s="41"/>
      <c r="E73" s="16"/>
      <c r="F73" s="16"/>
      <c r="G73" s="16"/>
      <c r="H73" s="16"/>
      <c r="I73" s="16"/>
      <c r="J73" s="16"/>
      <c r="K73" s="16"/>
      <c r="L73" s="16"/>
      <c r="M73" s="17" t="s">
        <v>266</v>
      </c>
      <c r="N73" s="2" t="s">
        <v>267</v>
      </c>
      <c r="O73" s="2" t="s">
        <v>51</v>
      </c>
      <c r="P73" s="2" t="s">
        <v>51</v>
      </c>
      <c r="Q73" s="2" t="s">
        <v>223</v>
      </c>
      <c r="R73" s="2" t="s">
        <v>61</v>
      </c>
      <c r="S73" s="2" t="s">
        <v>61</v>
      </c>
      <c r="T73" s="2" t="s">
        <v>60</v>
      </c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2" t="s">
        <v>51</v>
      </c>
      <c r="AS73" s="2" t="s">
        <v>51</v>
      </c>
      <c r="AT73" s="3"/>
      <c r="AU73" s="2" t="s">
        <v>268</v>
      </c>
      <c r="AV73" s="3">
        <v>49</v>
      </c>
      <c r="AW73" t="str">
        <f t="shared" si="6"/>
        <v>FK-5-1-12 Nozzle(360˚) 50A</v>
      </c>
    </row>
    <row r="74" spans="1:49" ht="30" customHeight="1" x14ac:dyDescent="0.3">
      <c r="A74" s="17" t="s">
        <v>269</v>
      </c>
      <c r="B74" s="17" t="s">
        <v>265</v>
      </c>
      <c r="C74" s="17" t="s">
        <v>187</v>
      </c>
      <c r="D74" s="41"/>
      <c r="E74" s="16"/>
      <c r="F74" s="16"/>
      <c r="G74" s="16"/>
      <c r="H74" s="16"/>
      <c r="I74" s="16"/>
      <c r="J74" s="16"/>
      <c r="K74" s="16"/>
      <c r="L74" s="16"/>
      <c r="M74" s="17" t="s">
        <v>270</v>
      </c>
      <c r="N74" s="2" t="s">
        <v>271</v>
      </c>
      <c r="O74" s="2" t="s">
        <v>51</v>
      </c>
      <c r="P74" s="2" t="s">
        <v>51</v>
      </c>
      <c r="Q74" s="2" t="s">
        <v>223</v>
      </c>
      <c r="R74" s="2" t="s">
        <v>61</v>
      </c>
      <c r="S74" s="2" t="s">
        <v>61</v>
      </c>
      <c r="T74" s="2" t="s">
        <v>60</v>
      </c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2" t="s">
        <v>51</v>
      </c>
      <c r="AS74" s="2" t="s">
        <v>51</v>
      </c>
      <c r="AT74" s="3"/>
      <c r="AU74" s="2" t="s">
        <v>272</v>
      </c>
      <c r="AV74" s="3">
        <v>50</v>
      </c>
      <c r="AW74" t="str">
        <f t="shared" si="6"/>
        <v>FK-5-1-12 Nozzle(180˚) 50A</v>
      </c>
    </row>
    <row r="75" spans="1:49" ht="30" customHeight="1" x14ac:dyDescent="0.3">
      <c r="A75" s="17" t="s">
        <v>264</v>
      </c>
      <c r="B75" s="17" t="s">
        <v>273</v>
      </c>
      <c r="C75" s="17" t="s">
        <v>187</v>
      </c>
      <c r="D75" s="41"/>
      <c r="E75" s="16"/>
      <c r="F75" s="16"/>
      <c r="G75" s="16"/>
      <c r="H75" s="16"/>
      <c r="I75" s="16"/>
      <c r="J75" s="16"/>
      <c r="K75" s="16"/>
      <c r="L75" s="16"/>
      <c r="M75" s="17" t="s">
        <v>274</v>
      </c>
      <c r="N75" s="2" t="s">
        <v>275</v>
      </c>
      <c r="O75" s="2" t="s">
        <v>51</v>
      </c>
      <c r="P75" s="2" t="s">
        <v>51</v>
      </c>
      <c r="Q75" s="2" t="s">
        <v>223</v>
      </c>
      <c r="R75" s="2" t="s">
        <v>61</v>
      </c>
      <c r="S75" s="2" t="s">
        <v>61</v>
      </c>
      <c r="T75" s="2" t="s">
        <v>60</v>
      </c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2" t="s">
        <v>51</v>
      </c>
      <c r="AS75" s="2" t="s">
        <v>51</v>
      </c>
      <c r="AT75" s="3"/>
      <c r="AU75" s="2" t="s">
        <v>276</v>
      </c>
      <c r="AV75" s="3">
        <v>51</v>
      </c>
      <c r="AW75" t="str">
        <f t="shared" si="6"/>
        <v>FK-5-1-12 Nozzle(360˚) 40A</v>
      </c>
    </row>
    <row r="76" spans="1:49" ht="30" customHeight="1" x14ac:dyDescent="0.3">
      <c r="A76" s="17" t="s">
        <v>269</v>
      </c>
      <c r="B76" s="17" t="s">
        <v>273</v>
      </c>
      <c r="C76" s="17" t="s">
        <v>187</v>
      </c>
      <c r="D76" s="41"/>
      <c r="E76" s="16"/>
      <c r="F76" s="16"/>
      <c r="G76" s="16"/>
      <c r="H76" s="16"/>
      <c r="I76" s="16"/>
      <c r="J76" s="16"/>
      <c r="K76" s="16"/>
      <c r="L76" s="16"/>
      <c r="M76" s="17" t="s">
        <v>277</v>
      </c>
      <c r="N76" s="2" t="s">
        <v>278</v>
      </c>
      <c r="O76" s="2" t="s">
        <v>51</v>
      </c>
      <c r="P76" s="2" t="s">
        <v>51</v>
      </c>
      <c r="Q76" s="2" t="s">
        <v>223</v>
      </c>
      <c r="R76" s="2" t="s">
        <v>61</v>
      </c>
      <c r="S76" s="2" t="s">
        <v>61</v>
      </c>
      <c r="T76" s="2" t="s">
        <v>60</v>
      </c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2" t="s">
        <v>51</v>
      </c>
      <c r="AS76" s="2" t="s">
        <v>51</v>
      </c>
      <c r="AT76" s="3"/>
      <c r="AU76" s="2" t="s">
        <v>279</v>
      </c>
      <c r="AV76" s="3">
        <v>52</v>
      </c>
      <c r="AW76" t="str">
        <f t="shared" si="6"/>
        <v>FK-5-1-12 Nozzle(180˚) 40A</v>
      </c>
    </row>
    <row r="77" spans="1:49" ht="30" customHeight="1" x14ac:dyDescent="0.3">
      <c r="A77" s="17" t="s">
        <v>280</v>
      </c>
      <c r="B77" s="17" t="s">
        <v>281</v>
      </c>
      <c r="C77" s="17" t="s">
        <v>187</v>
      </c>
      <c r="D77" s="41"/>
      <c r="E77" s="16"/>
      <c r="F77" s="16"/>
      <c r="G77" s="16"/>
      <c r="H77" s="16"/>
      <c r="I77" s="16"/>
      <c r="J77" s="16"/>
      <c r="K77" s="16"/>
      <c r="L77" s="16"/>
      <c r="M77" s="17" t="s">
        <v>282</v>
      </c>
      <c r="N77" s="2" t="s">
        <v>283</v>
      </c>
      <c r="O77" s="2" t="s">
        <v>51</v>
      </c>
      <c r="P77" s="2" t="s">
        <v>51</v>
      </c>
      <c r="Q77" s="2" t="s">
        <v>223</v>
      </c>
      <c r="R77" s="2" t="s">
        <v>61</v>
      </c>
      <c r="S77" s="2" t="s">
        <v>61</v>
      </c>
      <c r="T77" s="2" t="s">
        <v>60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51</v>
      </c>
      <c r="AS77" s="2" t="s">
        <v>51</v>
      </c>
      <c r="AT77" s="3"/>
      <c r="AU77" s="2" t="s">
        <v>284</v>
      </c>
      <c r="AV77" s="3">
        <v>53</v>
      </c>
      <c r="AW77" t="str">
        <f t="shared" si="6"/>
        <v>과(부)압배출구 (성능인증품) 600X600mm</v>
      </c>
    </row>
    <row r="78" spans="1:49" ht="30" customHeight="1" x14ac:dyDescent="0.3">
      <c r="A78" s="17" t="s">
        <v>280</v>
      </c>
      <c r="B78" s="17" t="s">
        <v>285</v>
      </c>
      <c r="C78" s="17" t="s">
        <v>187</v>
      </c>
      <c r="D78" s="41"/>
      <c r="E78" s="16"/>
      <c r="F78" s="16"/>
      <c r="G78" s="16"/>
      <c r="H78" s="16"/>
      <c r="I78" s="16"/>
      <c r="J78" s="16"/>
      <c r="K78" s="16"/>
      <c r="L78" s="16"/>
      <c r="M78" s="17" t="s">
        <v>286</v>
      </c>
      <c r="N78" s="2" t="s">
        <v>287</v>
      </c>
      <c r="O78" s="2" t="s">
        <v>51</v>
      </c>
      <c r="P78" s="2" t="s">
        <v>51</v>
      </c>
      <c r="Q78" s="2" t="s">
        <v>223</v>
      </c>
      <c r="R78" s="2" t="s">
        <v>61</v>
      </c>
      <c r="S78" s="2" t="s">
        <v>61</v>
      </c>
      <c r="T78" s="2" t="s">
        <v>60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51</v>
      </c>
      <c r="AS78" s="2" t="s">
        <v>51</v>
      </c>
      <c r="AT78" s="3"/>
      <c r="AU78" s="2" t="s">
        <v>288</v>
      </c>
      <c r="AV78" s="3">
        <v>54</v>
      </c>
      <c r="AW78" t="str">
        <f t="shared" si="6"/>
        <v>과(부)압배출구 (성능인증품) 400X400mm</v>
      </c>
    </row>
    <row r="79" spans="1:49" ht="30" customHeight="1" x14ac:dyDescent="0.3">
      <c r="A79" s="17" t="s">
        <v>280</v>
      </c>
      <c r="B79" s="17" t="s">
        <v>289</v>
      </c>
      <c r="C79" s="17" t="s">
        <v>187</v>
      </c>
      <c r="D79" s="41"/>
      <c r="E79" s="16"/>
      <c r="F79" s="16"/>
      <c r="G79" s="16"/>
      <c r="H79" s="16"/>
      <c r="I79" s="16"/>
      <c r="J79" s="16"/>
      <c r="K79" s="16"/>
      <c r="L79" s="16"/>
      <c r="M79" s="17" t="s">
        <v>290</v>
      </c>
      <c r="N79" s="2" t="s">
        <v>291</v>
      </c>
      <c r="O79" s="2" t="s">
        <v>51</v>
      </c>
      <c r="P79" s="2" t="s">
        <v>51</v>
      </c>
      <c r="Q79" s="2" t="s">
        <v>223</v>
      </c>
      <c r="R79" s="2" t="s">
        <v>61</v>
      </c>
      <c r="S79" s="2" t="s">
        <v>61</v>
      </c>
      <c r="T79" s="2" t="s">
        <v>60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51</v>
      </c>
      <c r="AS79" s="2" t="s">
        <v>51</v>
      </c>
      <c r="AT79" s="3"/>
      <c r="AU79" s="2" t="s">
        <v>292</v>
      </c>
      <c r="AV79" s="3">
        <v>55</v>
      </c>
      <c r="AW79" t="str">
        <f t="shared" si="6"/>
        <v>과(부)압배출구 (성능인증품) 300X300mm</v>
      </c>
    </row>
    <row r="80" spans="1:49" ht="30" customHeight="1" x14ac:dyDescent="0.3">
      <c r="A80" s="17" t="s">
        <v>280</v>
      </c>
      <c r="B80" s="17" t="s">
        <v>293</v>
      </c>
      <c r="C80" s="17" t="s">
        <v>187</v>
      </c>
      <c r="D80" s="41"/>
      <c r="E80" s="16"/>
      <c r="F80" s="16"/>
      <c r="G80" s="16"/>
      <c r="H80" s="16"/>
      <c r="I80" s="16"/>
      <c r="J80" s="16"/>
      <c r="K80" s="16"/>
      <c r="L80" s="16"/>
      <c r="M80" s="17" t="s">
        <v>294</v>
      </c>
      <c r="N80" s="2" t="s">
        <v>295</v>
      </c>
      <c r="O80" s="2" t="s">
        <v>51</v>
      </c>
      <c r="P80" s="2" t="s">
        <v>51</v>
      </c>
      <c r="Q80" s="2" t="s">
        <v>223</v>
      </c>
      <c r="R80" s="2" t="s">
        <v>61</v>
      </c>
      <c r="S80" s="2" t="s">
        <v>61</v>
      </c>
      <c r="T80" s="2" t="s">
        <v>60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2" t="s">
        <v>51</v>
      </c>
      <c r="AS80" s="2" t="s">
        <v>51</v>
      </c>
      <c r="AT80" s="3"/>
      <c r="AU80" s="2" t="s">
        <v>296</v>
      </c>
      <c r="AV80" s="3">
        <v>56</v>
      </c>
      <c r="AW80" t="str">
        <f t="shared" si="6"/>
        <v>과(부)압배출구 (성능인증품) 200X200mm</v>
      </c>
    </row>
    <row r="81" spans="1:49" ht="30" customHeight="1" x14ac:dyDescent="0.3">
      <c r="A81" s="17" t="s">
        <v>297</v>
      </c>
      <c r="B81" s="17" t="s">
        <v>298</v>
      </c>
      <c r="C81" s="17" t="s">
        <v>187</v>
      </c>
      <c r="D81" s="41"/>
      <c r="E81" s="16"/>
      <c r="F81" s="16"/>
      <c r="G81" s="105"/>
      <c r="H81" s="105"/>
      <c r="I81" s="16"/>
      <c r="J81" s="16"/>
      <c r="K81" s="16"/>
      <c r="L81" s="16"/>
      <c r="M81" s="17" t="s">
        <v>299</v>
      </c>
      <c r="N81" s="2" t="s">
        <v>300</v>
      </c>
      <c r="O81" s="2" t="s">
        <v>51</v>
      </c>
      <c r="P81" s="2" t="s">
        <v>51</v>
      </c>
      <c r="Q81" s="2" t="s">
        <v>223</v>
      </c>
      <c r="R81" s="2" t="s">
        <v>61</v>
      </c>
      <c r="S81" s="2" t="s">
        <v>61</v>
      </c>
      <c r="T81" s="2" t="s">
        <v>60</v>
      </c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2" t="s">
        <v>51</v>
      </c>
      <c r="AS81" s="2" t="s">
        <v>51</v>
      </c>
      <c r="AT81" s="3"/>
      <c r="AU81" s="2" t="s">
        <v>301</v>
      </c>
      <c r="AV81" s="3">
        <v>57</v>
      </c>
      <c r="AW81" t="str">
        <f t="shared" si="6"/>
        <v>구역명판 FOMAX</v>
      </c>
    </row>
    <row r="82" spans="1:49" ht="30" customHeight="1" x14ac:dyDescent="0.3">
      <c r="A82" s="17" t="s">
        <v>302</v>
      </c>
      <c r="B82" s="17" t="s">
        <v>298</v>
      </c>
      <c r="C82" s="17" t="s">
        <v>187</v>
      </c>
      <c r="D82" s="41"/>
      <c r="E82" s="16"/>
      <c r="F82" s="16"/>
      <c r="G82" s="105"/>
      <c r="H82" s="105"/>
      <c r="I82" s="16"/>
      <c r="J82" s="16"/>
      <c r="K82" s="16"/>
      <c r="L82" s="16"/>
      <c r="M82" s="17" t="s">
        <v>303</v>
      </c>
      <c r="N82" s="2" t="s">
        <v>304</v>
      </c>
      <c r="O82" s="2" t="s">
        <v>51</v>
      </c>
      <c r="P82" s="2" t="s">
        <v>51</v>
      </c>
      <c r="Q82" s="2" t="s">
        <v>223</v>
      </c>
      <c r="R82" s="2" t="s">
        <v>61</v>
      </c>
      <c r="S82" s="2" t="s">
        <v>61</v>
      </c>
      <c r="T82" s="2" t="s">
        <v>60</v>
      </c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2" t="s">
        <v>51</v>
      </c>
      <c r="AS82" s="2" t="s">
        <v>51</v>
      </c>
      <c r="AT82" s="3"/>
      <c r="AU82" s="2" t="s">
        <v>305</v>
      </c>
      <c r="AV82" s="3">
        <v>58</v>
      </c>
      <c r="AW82" t="str">
        <f t="shared" si="6"/>
        <v>작동설명판 FOMAX</v>
      </c>
    </row>
    <row r="83" spans="1:49" ht="30" customHeight="1" x14ac:dyDescent="0.3">
      <c r="A83" s="17" t="s">
        <v>306</v>
      </c>
      <c r="B83" s="17" t="s">
        <v>298</v>
      </c>
      <c r="C83" s="17" t="s">
        <v>187</v>
      </c>
      <c r="D83" s="41"/>
      <c r="E83" s="16"/>
      <c r="F83" s="16"/>
      <c r="G83" s="105"/>
      <c r="H83" s="105"/>
      <c r="I83" s="16"/>
      <c r="J83" s="16"/>
      <c r="K83" s="16"/>
      <c r="L83" s="16"/>
      <c r="M83" s="17" t="s">
        <v>307</v>
      </c>
      <c r="N83" s="2" t="s">
        <v>308</v>
      </c>
      <c r="O83" s="2" t="s">
        <v>51</v>
      </c>
      <c r="P83" s="2" t="s">
        <v>51</v>
      </c>
      <c r="Q83" s="2" t="s">
        <v>223</v>
      </c>
      <c r="R83" s="2" t="s">
        <v>61</v>
      </c>
      <c r="S83" s="2" t="s">
        <v>61</v>
      </c>
      <c r="T83" s="2" t="s">
        <v>60</v>
      </c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2" t="s">
        <v>51</v>
      </c>
      <c r="AS83" s="2" t="s">
        <v>51</v>
      </c>
      <c r="AT83" s="3"/>
      <c r="AU83" s="2" t="s">
        <v>309</v>
      </c>
      <c r="AV83" s="3">
        <v>59</v>
      </c>
      <c r="AW83" t="str">
        <f t="shared" si="6"/>
        <v>방호구역도 FOMAX</v>
      </c>
    </row>
    <row r="84" spans="1:49" ht="30" customHeight="1" x14ac:dyDescent="0.3">
      <c r="A84" s="17" t="s">
        <v>310</v>
      </c>
      <c r="B84" s="17" t="s">
        <v>311</v>
      </c>
      <c r="C84" s="17" t="s">
        <v>74</v>
      </c>
      <c r="D84" s="41"/>
      <c r="E84" s="16"/>
      <c r="F84" s="16"/>
      <c r="G84" s="16"/>
      <c r="H84" s="16"/>
      <c r="I84" s="16"/>
      <c r="J84" s="16"/>
      <c r="K84" s="16"/>
      <c r="L84" s="16"/>
      <c r="M84" s="17" t="s">
        <v>312</v>
      </c>
      <c r="N84" s="2" t="s">
        <v>313</v>
      </c>
      <c r="O84" s="2" t="s">
        <v>51</v>
      </c>
      <c r="P84" s="2" t="s">
        <v>51</v>
      </c>
      <c r="Q84" s="2" t="s">
        <v>223</v>
      </c>
      <c r="R84" s="2" t="s">
        <v>61</v>
      </c>
      <c r="S84" s="2" t="s">
        <v>61</v>
      </c>
      <c r="T84" s="2" t="s">
        <v>60</v>
      </c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2" t="s">
        <v>51</v>
      </c>
      <c r="AS84" s="2" t="s">
        <v>51</v>
      </c>
      <c r="AT84" s="3"/>
      <c r="AU84" s="2" t="s">
        <v>314</v>
      </c>
      <c r="AV84" s="3">
        <v>60</v>
      </c>
      <c r="AW84" t="str">
        <f t="shared" si="6"/>
        <v>KSD-3562 SCH40(백관) 100A</v>
      </c>
    </row>
    <row r="85" spans="1:49" ht="30" customHeight="1" x14ac:dyDescent="0.3">
      <c r="A85" s="17" t="s">
        <v>310</v>
      </c>
      <c r="B85" s="17" t="s">
        <v>315</v>
      </c>
      <c r="C85" s="17" t="s">
        <v>74</v>
      </c>
      <c r="D85" s="41"/>
      <c r="E85" s="16"/>
      <c r="F85" s="16"/>
      <c r="G85" s="16"/>
      <c r="H85" s="16"/>
      <c r="I85" s="16"/>
      <c r="J85" s="16"/>
      <c r="K85" s="16"/>
      <c r="L85" s="16"/>
      <c r="M85" s="17" t="s">
        <v>316</v>
      </c>
      <c r="N85" s="2" t="s">
        <v>317</v>
      </c>
      <c r="O85" s="2" t="s">
        <v>51</v>
      </c>
      <c r="P85" s="2" t="s">
        <v>51</v>
      </c>
      <c r="Q85" s="2" t="s">
        <v>223</v>
      </c>
      <c r="R85" s="2" t="s">
        <v>61</v>
      </c>
      <c r="S85" s="2" t="s">
        <v>61</v>
      </c>
      <c r="T85" s="2" t="s">
        <v>60</v>
      </c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2" t="s">
        <v>51</v>
      </c>
      <c r="AS85" s="2" t="s">
        <v>51</v>
      </c>
      <c r="AT85" s="3"/>
      <c r="AU85" s="2" t="s">
        <v>318</v>
      </c>
      <c r="AV85" s="3">
        <v>61</v>
      </c>
      <c r="AW85" t="str">
        <f t="shared" si="6"/>
        <v>KSD-3562 SCH40(백관) 65A</v>
      </c>
    </row>
    <row r="86" spans="1:49" ht="30" customHeight="1" x14ac:dyDescent="0.3">
      <c r="A86" s="17" t="s">
        <v>310</v>
      </c>
      <c r="B86" s="17" t="s">
        <v>265</v>
      </c>
      <c r="C86" s="17" t="s">
        <v>74</v>
      </c>
      <c r="D86" s="41"/>
      <c r="E86" s="16"/>
      <c r="F86" s="16"/>
      <c r="G86" s="16"/>
      <c r="H86" s="16"/>
      <c r="I86" s="16"/>
      <c r="J86" s="16"/>
      <c r="K86" s="16"/>
      <c r="L86" s="16"/>
      <c r="M86" s="17" t="s">
        <v>319</v>
      </c>
      <c r="N86" s="2" t="s">
        <v>320</v>
      </c>
      <c r="O86" s="2" t="s">
        <v>51</v>
      </c>
      <c r="P86" s="2" t="s">
        <v>51</v>
      </c>
      <c r="Q86" s="2" t="s">
        <v>223</v>
      </c>
      <c r="R86" s="2" t="s">
        <v>61</v>
      </c>
      <c r="S86" s="2" t="s">
        <v>61</v>
      </c>
      <c r="T86" s="2" t="s">
        <v>60</v>
      </c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2" t="s">
        <v>51</v>
      </c>
      <c r="AS86" s="2" t="s">
        <v>51</v>
      </c>
      <c r="AT86" s="3"/>
      <c r="AU86" s="2" t="s">
        <v>321</v>
      </c>
      <c r="AV86" s="3">
        <v>62</v>
      </c>
      <c r="AW86" t="str">
        <f t="shared" si="6"/>
        <v>KSD-3562 SCH40(백관) 50A</v>
      </c>
    </row>
    <row r="87" spans="1:49" ht="30" customHeight="1" x14ac:dyDescent="0.3">
      <c r="A87" s="17" t="s">
        <v>310</v>
      </c>
      <c r="B87" s="17" t="s">
        <v>273</v>
      </c>
      <c r="C87" s="17" t="s">
        <v>74</v>
      </c>
      <c r="D87" s="41"/>
      <c r="E87" s="16"/>
      <c r="F87" s="16"/>
      <c r="G87" s="16"/>
      <c r="H87" s="16"/>
      <c r="I87" s="16"/>
      <c r="J87" s="16"/>
      <c r="K87" s="16"/>
      <c r="L87" s="16"/>
      <c r="M87" s="17" t="s">
        <v>322</v>
      </c>
      <c r="N87" s="2" t="s">
        <v>323</v>
      </c>
      <c r="O87" s="2" t="s">
        <v>51</v>
      </c>
      <c r="P87" s="2" t="s">
        <v>51</v>
      </c>
      <c r="Q87" s="2" t="s">
        <v>223</v>
      </c>
      <c r="R87" s="2" t="s">
        <v>61</v>
      </c>
      <c r="S87" s="2" t="s">
        <v>61</v>
      </c>
      <c r="T87" s="2" t="s">
        <v>60</v>
      </c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2" t="s">
        <v>51</v>
      </c>
      <c r="AS87" s="2" t="s">
        <v>51</v>
      </c>
      <c r="AT87" s="3"/>
      <c r="AU87" s="2" t="s">
        <v>324</v>
      </c>
      <c r="AV87" s="3">
        <v>63</v>
      </c>
      <c r="AW87" t="str">
        <f t="shared" si="6"/>
        <v>KSD-3562 SCH40(백관) 40A</v>
      </c>
    </row>
    <row r="88" spans="1:49" ht="30" customHeight="1" x14ac:dyDescent="0.3">
      <c r="A88" s="17" t="s">
        <v>325</v>
      </c>
      <c r="B88" s="17" t="s">
        <v>326</v>
      </c>
      <c r="C88" s="17" t="s">
        <v>187</v>
      </c>
      <c r="D88" s="41"/>
      <c r="E88" s="16"/>
      <c r="F88" s="16"/>
      <c r="G88" s="105"/>
      <c r="H88" s="105"/>
      <c r="I88" s="16"/>
      <c r="J88" s="16"/>
      <c r="K88" s="16"/>
      <c r="L88" s="16"/>
      <c r="M88" s="17" t="s">
        <v>327</v>
      </c>
      <c r="N88" s="2" t="s">
        <v>328</v>
      </c>
      <c r="O88" s="2" t="s">
        <v>51</v>
      </c>
      <c r="P88" s="2" t="s">
        <v>51</v>
      </c>
      <c r="Q88" s="2" t="s">
        <v>223</v>
      </c>
      <c r="R88" s="2" t="s">
        <v>61</v>
      </c>
      <c r="S88" s="2" t="s">
        <v>61</v>
      </c>
      <c r="T88" s="2" t="s">
        <v>60</v>
      </c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2" t="s">
        <v>51</v>
      </c>
      <c r="AS88" s="2" t="s">
        <v>51</v>
      </c>
      <c r="AT88" s="3"/>
      <c r="AU88" s="2" t="s">
        <v>329</v>
      </c>
      <c r="AV88" s="3">
        <v>64</v>
      </c>
      <c r="AW88" t="str">
        <f t="shared" si="6"/>
        <v>SCH40 그루브 관이음쇠 엘보 , 100A</v>
      </c>
    </row>
    <row r="89" spans="1:49" ht="30" customHeight="1" x14ac:dyDescent="0.3">
      <c r="A89" s="17" t="s">
        <v>325</v>
      </c>
      <c r="B89" s="17" t="s">
        <v>330</v>
      </c>
      <c r="C89" s="17" t="s">
        <v>187</v>
      </c>
      <c r="D89" s="41"/>
      <c r="E89" s="16"/>
      <c r="F89" s="16"/>
      <c r="G89" s="105"/>
      <c r="H89" s="105"/>
      <c r="I89" s="16"/>
      <c r="J89" s="16"/>
      <c r="K89" s="16"/>
      <c r="L89" s="16"/>
      <c r="M89" s="17" t="s">
        <v>331</v>
      </c>
      <c r="N89" s="2" t="s">
        <v>332</v>
      </c>
      <c r="O89" s="2" t="s">
        <v>51</v>
      </c>
      <c r="P89" s="2" t="s">
        <v>51</v>
      </c>
      <c r="Q89" s="2" t="s">
        <v>223</v>
      </c>
      <c r="R89" s="2" t="s">
        <v>61</v>
      </c>
      <c r="S89" s="2" t="s">
        <v>61</v>
      </c>
      <c r="T89" s="2" t="s">
        <v>60</v>
      </c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2" t="s">
        <v>51</v>
      </c>
      <c r="AS89" s="2" t="s">
        <v>51</v>
      </c>
      <c r="AT89" s="3"/>
      <c r="AU89" s="2" t="s">
        <v>333</v>
      </c>
      <c r="AV89" s="3">
        <v>65</v>
      </c>
      <c r="AW89" t="str">
        <f t="shared" si="6"/>
        <v>SCH40 그루브 관이음쇠 TEE , 100A</v>
      </c>
    </row>
    <row r="90" spans="1:49" ht="30" customHeight="1" x14ac:dyDescent="0.3">
      <c r="A90" s="17" t="s">
        <v>325</v>
      </c>
      <c r="B90" s="17" t="s">
        <v>334</v>
      </c>
      <c r="C90" s="17" t="s">
        <v>187</v>
      </c>
      <c r="D90" s="41"/>
      <c r="E90" s="16"/>
      <c r="F90" s="16"/>
      <c r="G90" s="105"/>
      <c r="H90" s="105"/>
      <c r="I90" s="16"/>
      <c r="J90" s="16"/>
      <c r="K90" s="16"/>
      <c r="L90" s="16"/>
      <c r="M90" s="17" t="s">
        <v>335</v>
      </c>
      <c r="N90" s="2" t="s">
        <v>336</v>
      </c>
      <c r="O90" s="2" t="s">
        <v>51</v>
      </c>
      <c r="P90" s="2" t="s">
        <v>51</v>
      </c>
      <c r="Q90" s="2" t="s">
        <v>223</v>
      </c>
      <c r="R90" s="2" t="s">
        <v>61</v>
      </c>
      <c r="S90" s="2" t="s">
        <v>61</v>
      </c>
      <c r="T90" s="2" t="s">
        <v>60</v>
      </c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2" t="s">
        <v>51</v>
      </c>
      <c r="AS90" s="2" t="s">
        <v>51</v>
      </c>
      <c r="AT90" s="3"/>
      <c r="AU90" s="2" t="s">
        <v>337</v>
      </c>
      <c r="AV90" s="3">
        <v>66</v>
      </c>
      <c r="AW90" t="str">
        <f t="shared" si="6"/>
        <v>SCH40 그루브 관이음쇠 TEE , 65A</v>
      </c>
    </row>
    <row r="91" spans="1:49" ht="30" customHeight="1" x14ac:dyDescent="0.3">
      <c r="A91" s="17" t="s">
        <v>325</v>
      </c>
      <c r="B91" s="17" t="s">
        <v>338</v>
      </c>
      <c r="C91" s="17" t="s">
        <v>187</v>
      </c>
      <c r="D91" s="41"/>
      <c r="E91" s="16"/>
      <c r="F91" s="16"/>
      <c r="G91" s="105"/>
      <c r="H91" s="105"/>
      <c r="I91" s="16"/>
      <c r="J91" s="16"/>
      <c r="K91" s="16"/>
      <c r="L91" s="16"/>
      <c r="M91" s="17" t="s">
        <v>339</v>
      </c>
      <c r="N91" s="2" t="s">
        <v>340</v>
      </c>
      <c r="O91" s="2" t="s">
        <v>51</v>
      </c>
      <c r="P91" s="2" t="s">
        <v>51</v>
      </c>
      <c r="Q91" s="2" t="s">
        <v>223</v>
      </c>
      <c r="R91" s="2" t="s">
        <v>61</v>
      </c>
      <c r="S91" s="2" t="s">
        <v>61</v>
      </c>
      <c r="T91" s="2" t="s">
        <v>60</v>
      </c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2" t="s">
        <v>51</v>
      </c>
      <c r="AS91" s="2" t="s">
        <v>51</v>
      </c>
      <c r="AT91" s="3"/>
      <c r="AU91" s="2" t="s">
        <v>341</v>
      </c>
      <c r="AV91" s="3">
        <v>67</v>
      </c>
      <c r="AW91" t="str">
        <f t="shared" si="6"/>
        <v>SCH40 그루브 관이음쇠 R/S , 100x65</v>
      </c>
    </row>
    <row r="92" spans="1:49" ht="30" customHeight="1" x14ac:dyDescent="0.3">
      <c r="A92" s="17" t="s">
        <v>325</v>
      </c>
      <c r="B92" s="17" t="s">
        <v>342</v>
      </c>
      <c r="C92" s="17" t="s">
        <v>187</v>
      </c>
      <c r="D92" s="41"/>
      <c r="E92" s="16"/>
      <c r="F92" s="16"/>
      <c r="G92" s="105"/>
      <c r="H92" s="105"/>
      <c r="I92" s="16"/>
      <c r="J92" s="16"/>
      <c r="K92" s="16"/>
      <c r="L92" s="16"/>
      <c r="M92" s="17" t="s">
        <v>343</v>
      </c>
      <c r="N92" s="2" t="s">
        <v>344</v>
      </c>
      <c r="O92" s="2" t="s">
        <v>51</v>
      </c>
      <c r="P92" s="2" t="s">
        <v>51</v>
      </c>
      <c r="Q92" s="2" t="s">
        <v>223</v>
      </c>
      <c r="R92" s="2" t="s">
        <v>61</v>
      </c>
      <c r="S92" s="2" t="s">
        <v>61</v>
      </c>
      <c r="T92" s="2" t="s">
        <v>60</v>
      </c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2" t="s">
        <v>51</v>
      </c>
      <c r="AS92" s="2" t="s">
        <v>51</v>
      </c>
      <c r="AT92" s="3"/>
      <c r="AU92" s="2" t="s">
        <v>345</v>
      </c>
      <c r="AV92" s="3">
        <v>68</v>
      </c>
      <c r="AW92" t="str">
        <f t="shared" si="6"/>
        <v>SCH40 그루브 관이음쇠 R/S , 100x40</v>
      </c>
    </row>
    <row r="93" spans="1:49" ht="30" customHeight="1" x14ac:dyDescent="0.3">
      <c r="A93" s="17" t="s">
        <v>325</v>
      </c>
      <c r="B93" s="17" t="s">
        <v>346</v>
      </c>
      <c r="C93" s="17" t="s">
        <v>187</v>
      </c>
      <c r="D93" s="41"/>
      <c r="E93" s="16"/>
      <c r="F93" s="16"/>
      <c r="G93" s="105"/>
      <c r="H93" s="105"/>
      <c r="I93" s="16"/>
      <c r="J93" s="16"/>
      <c r="K93" s="16"/>
      <c r="L93" s="16"/>
      <c r="M93" s="17" t="s">
        <v>347</v>
      </c>
      <c r="N93" s="2" t="s">
        <v>348</v>
      </c>
      <c r="O93" s="2" t="s">
        <v>51</v>
      </c>
      <c r="P93" s="2" t="s">
        <v>51</v>
      </c>
      <c r="Q93" s="2" t="s">
        <v>223</v>
      </c>
      <c r="R93" s="2" t="s">
        <v>61</v>
      </c>
      <c r="S93" s="2" t="s">
        <v>61</v>
      </c>
      <c r="T93" s="2" t="s">
        <v>60</v>
      </c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2" t="s">
        <v>51</v>
      </c>
      <c r="AS93" s="2" t="s">
        <v>51</v>
      </c>
      <c r="AT93" s="3"/>
      <c r="AU93" s="2" t="s">
        <v>349</v>
      </c>
      <c r="AV93" s="3">
        <v>69</v>
      </c>
      <c r="AW93" t="str">
        <f t="shared" si="6"/>
        <v>SCH40 그루브 관이음쇠 R/S , 65x50</v>
      </c>
    </row>
    <row r="94" spans="1:49" ht="30" customHeight="1" x14ac:dyDescent="0.3">
      <c r="A94" s="17" t="s">
        <v>350</v>
      </c>
      <c r="B94" s="17" t="s">
        <v>351</v>
      </c>
      <c r="C94" s="17" t="s">
        <v>187</v>
      </c>
      <c r="D94" s="41"/>
      <c r="E94" s="16"/>
      <c r="F94" s="16"/>
      <c r="G94" s="105"/>
      <c r="H94" s="105"/>
      <c r="I94" s="16"/>
      <c r="J94" s="16"/>
      <c r="K94" s="16"/>
      <c r="L94" s="16"/>
      <c r="M94" s="17" t="s">
        <v>352</v>
      </c>
      <c r="N94" s="2" t="s">
        <v>353</v>
      </c>
      <c r="O94" s="2" t="s">
        <v>51</v>
      </c>
      <c r="P94" s="2" t="s">
        <v>51</v>
      </c>
      <c r="Q94" s="2" t="s">
        <v>223</v>
      </c>
      <c r="R94" s="2" t="s">
        <v>61</v>
      </c>
      <c r="S94" s="2" t="s">
        <v>61</v>
      </c>
      <c r="T94" s="2" t="s">
        <v>60</v>
      </c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2" t="s">
        <v>51</v>
      </c>
      <c r="AS94" s="2" t="s">
        <v>51</v>
      </c>
      <c r="AT94" s="3"/>
      <c r="AU94" s="2" t="s">
        <v>354</v>
      </c>
      <c r="AV94" s="3">
        <v>70</v>
      </c>
      <c r="AW94" t="str">
        <f t="shared" si="6"/>
        <v>플렉시블 커플링(그루브) 유동식 , 100A</v>
      </c>
    </row>
    <row r="95" spans="1:49" ht="30" customHeight="1" x14ac:dyDescent="0.3">
      <c r="A95" s="17" t="s">
        <v>350</v>
      </c>
      <c r="B95" s="17" t="s">
        <v>355</v>
      </c>
      <c r="C95" s="17" t="s">
        <v>187</v>
      </c>
      <c r="D95" s="41"/>
      <c r="E95" s="16"/>
      <c r="F95" s="16"/>
      <c r="G95" s="105"/>
      <c r="H95" s="105"/>
      <c r="I95" s="16"/>
      <c r="J95" s="16"/>
      <c r="K95" s="16"/>
      <c r="L95" s="16"/>
      <c r="M95" s="17" t="s">
        <v>356</v>
      </c>
      <c r="N95" s="2" t="s">
        <v>357</v>
      </c>
      <c r="O95" s="2" t="s">
        <v>51</v>
      </c>
      <c r="P95" s="2" t="s">
        <v>51</v>
      </c>
      <c r="Q95" s="2" t="s">
        <v>223</v>
      </c>
      <c r="R95" s="2" t="s">
        <v>61</v>
      </c>
      <c r="S95" s="2" t="s">
        <v>61</v>
      </c>
      <c r="T95" s="2" t="s">
        <v>60</v>
      </c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2" t="s">
        <v>51</v>
      </c>
      <c r="AS95" s="2" t="s">
        <v>51</v>
      </c>
      <c r="AT95" s="3"/>
      <c r="AU95" s="2" t="s">
        <v>358</v>
      </c>
      <c r="AV95" s="3">
        <v>71</v>
      </c>
      <c r="AW95" t="str">
        <f t="shared" si="6"/>
        <v>플렉시블 커플링(그루브) 유동식 , 65A</v>
      </c>
    </row>
    <row r="96" spans="1:49" ht="30" customHeight="1" x14ac:dyDescent="0.3">
      <c r="A96" s="17" t="s">
        <v>350</v>
      </c>
      <c r="B96" s="17" t="s">
        <v>359</v>
      </c>
      <c r="C96" s="17" t="s">
        <v>187</v>
      </c>
      <c r="D96" s="41"/>
      <c r="E96" s="16"/>
      <c r="F96" s="16"/>
      <c r="G96" s="105"/>
      <c r="H96" s="105"/>
      <c r="I96" s="16"/>
      <c r="J96" s="16"/>
      <c r="K96" s="16"/>
      <c r="L96" s="16"/>
      <c r="M96" s="17" t="s">
        <v>360</v>
      </c>
      <c r="N96" s="2" t="s">
        <v>361</v>
      </c>
      <c r="O96" s="2" t="s">
        <v>51</v>
      </c>
      <c r="P96" s="2" t="s">
        <v>51</v>
      </c>
      <c r="Q96" s="2" t="s">
        <v>223</v>
      </c>
      <c r="R96" s="2" t="s">
        <v>61</v>
      </c>
      <c r="S96" s="2" t="s">
        <v>61</v>
      </c>
      <c r="T96" s="2" t="s">
        <v>60</v>
      </c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2" t="s">
        <v>51</v>
      </c>
      <c r="AS96" s="2" t="s">
        <v>51</v>
      </c>
      <c r="AT96" s="3"/>
      <c r="AU96" s="2" t="s">
        <v>362</v>
      </c>
      <c r="AV96" s="3">
        <v>72</v>
      </c>
      <c r="AW96" t="str">
        <f t="shared" si="6"/>
        <v>플렉시블 커플링(그루브) 유동식 , 50A</v>
      </c>
    </row>
    <row r="97" spans="1:49" ht="30" customHeight="1" x14ac:dyDescent="0.3">
      <c r="A97" s="17" t="s">
        <v>363</v>
      </c>
      <c r="B97" s="17" t="s">
        <v>364</v>
      </c>
      <c r="C97" s="17" t="s">
        <v>187</v>
      </c>
      <c r="D97" s="41"/>
      <c r="E97" s="16"/>
      <c r="F97" s="16"/>
      <c r="G97" s="105"/>
      <c r="H97" s="105"/>
      <c r="I97" s="16"/>
      <c r="J97" s="16"/>
      <c r="K97" s="16"/>
      <c r="L97" s="16"/>
      <c r="M97" s="17" t="s">
        <v>365</v>
      </c>
      <c r="N97" s="2" t="s">
        <v>366</v>
      </c>
      <c r="O97" s="2" t="s">
        <v>51</v>
      </c>
      <c r="P97" s="2" t="s">
        <v>51</v>
      </c>
      <c r="Q97" s="2" t="s">
        <v>223</v>
      </c>
      <c r="R97" s="2" t="s">
        <v>61</v>
      </c>
      <c r="S97" s="2" t="s">
        <v>61</v>
      </c>
      <c r="T97" s="2" t="s">
        <v>60</v>
      </c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2" t="s">
        <v>51</v>
      </c>
      <c r="AS97" s="2" t="s">
        <v>51</v>
      </c>
      <c r="AT97" s="3"/>
      <c r="AU97" s="2" t="s">
        <v>367</v>
      </c>
      <c r="AV97" s="3">
        <v>73</v>
      </c>
      <c r="AW97" t="str">
        <f t="shared" si="6"/>
        <v>일반단조관이음쇠 90엘보, 나사식 , 50A</v>
      </c>
    </row>
    <row r="98" spans="1:49" ht="30" customHeight="1" x14ac:dyDescent="0.3">
      <c r="A98" s="17" t="s">
        <v>363</v>
      </c>
      <c r="B98" s="17" t="s">
        <v>368</v>
      </c>
      <c r="C98" s="17" t="s">
        <v>187</v>
      </c>
      <c r="D98" s="41"/>
      <c r="E98" s="16"/>
      <c r="F98" s="16"/>
      <c r="G98" s="105"/>
      <c r="H98" s="105"/>
      <c r="I98" s="16"/>
      <c r="J98" s="16"/>
      <c r="K98" s="16"/>
      <c r="L98" s="16"/>
      <c r="M98" s="17" t="s">
        <v>369</v>
      </c>
      <c r="N98" s="2" t="s">
        <v>370</v>
      </c>
      <c r="O98" s="2" t="s">
        <v>51</v>
      </c>
      <c r="P98" s="2" t="s">
        <v>51</v>
      </c>
      <c r="Q98" s="2" t="s">
        <v>223</v>
      </c>
      <c r="R98" s="2" t="s">
        <v>61</v>
      </c>
      <c r="S98" s="2" t="s">
        <v>61</v>
      </c>
      <c r="T98" s="2" t="s">
        <v>60</v>
      </c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2" t="s">
        <v>51</v>
      </c>
      <c r="AS98" s="2" t="s">
        <v>51</v>
      </c>
      <c r="AT98" s="3"/>
      <c r="AU98" s="2" t="s">
        <v>371</v>
      </c>
      <c r="AV98" s="3">
        <v>74</v>
      </c>
      <c r="AW98" t="str">
        <f t="shared" si="6"/>
        <v>일반단조관이음쇠 90엘보, 나사식 , 40A</v>
      </c>
    </row>
    <row r="99" spans="1:49" ht="30" customHeight="1" x14ac:dyDescent="0.3">
      <c r="A99" s="17" t="s">
        <v>363</v>
      </c>
      <c r="B99" s="17" t="s">
        <v>372</v>
      </c>
      <c r="C99" s="17" t="s">
        <v>187</v>
      </c>
      <c r="D99" s="41"/>
      <c r="E99" s="16"/>
      <c r="F99" s="16"/>
      <c r="G99" s="105"/>
      <c r="H99" s="105"/>
      <c r="I99" s="16"/>
      <c r="J99" s="16"/>
      <c r="K99" s="16"/>
      <c r="L99" s="16"/>
      <c r="M99" s="17" t="s">
        <v>373</v>
      </c>
      <c r="N99" s="2" t="s">
        <v>374</v>
      </c>
      <c r="O99" s="2" t="s">
        <v>51</v>
      </c>
      <c r="P99" s="2" t="s">
        <v>51</v>
      </c>
      <c r="Q99" s="2" t="s">
        <v>223</v>
      </c>
      <c r="R99" s="2" t="s">
        <v>61</v>
      </c>
      <c r="S99" s="2" t="s">
        <v>61</v>
      </c>
      <c r="T99" s="2" t="s">
        <v>60</v>
      </c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2" t="s">
        <v>51</v>
      </c>
      <c r="AS99" s="2" t="s">
        <v>51</v>
      </c>
      <c r="AT99" s="3"/>
      <c r="AU99" s="2" t="s">
        <v>375</v>
      </c>
      <c r="AV99" s="3">
        <v>75</v>
      </c>
      <c r="AW99" t="str">
        <f t="shared" si="6"/>
        <v>일반단조관이음쇠 TEE , 나사식 , 50x40</v>
      </c>
    </row>
    <row r="100" spans="1:49" ht="30" customHeight="1" x14ac:dyDescent="0.3">
      <c r="A100" s="17" t="s">
        <v>363</v>
      </c>
      <c r="B100" s="17" t="s">
        <v>376</v>
      </c>
      <c r="C100" s="17" t="s">
        <v>187</v>
      </c>
      <c r="D100" s="41"/>
      <c r="E100" s="16"/>
      <c r="F100" s="16"/>
      <c r="G100" s="105"/>
      <c r="H100" s="105"/>
      <c r="I100" s="16"/>
      <c r="J100" s="16"/>
      <c r="K100" s="16"/>
      <c r="L100" s="16"/>
      <c r="M100" s="17" t="s">
        <v>377</v>
      </c>
      <c r="N100" s="2" t="s">
        <v>378</v>
      </c>
      <c r="O100" s="2" t="s">
        <v>51</v>
      </c>
      <c r="P100" s="2" t="s">
        <v>51</v>
      </c>
      <c r="Q100" s="2" t="s">
        <v>223</v>
      </c>
      <c r="R100" s="2" t="s">
        <v>61</v>
      </c>
      <c r="S100" s="2" t="s">
        <v>61</v>
      </c>
      <c r="T100" s="2" t="s">
        <v>60</v>
      </c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2" t="s">
        <v>51</v>
      </c>
      <c r="AS100" s="2" t="s">
        <v>51</v>
      </c>
      <c r="AT100" s="3"/>
      <c r="AU100" s="2" t="s">
        <v>379</v>
      </c>
      <c r="AV100" s="3">
        <v>76</v>
      </c>
      <c r="AW100" t="str">
        <f t="shared" si="6"/>
        <v>일반단조관이음쇠 R/S , 나사식 , 50x40</v>
      </c>
    </row>
    <row r="101" spans="1:49" ht="30" customHeight="1" x14ac:dyDescent="0.3">
      <c r="A101" s="17" t="s">
        <v>380</v>
      </c>
      <c r="B101" s="17" t="s">
        <v>311</v>
      </c>
      <c r="C101" s="17" t="s">
        <v>187</v>
      </c>
      <c r="D101" s="41"/>
      <c r="E101" s="16"/>
      <c r="F101" s="16"/>
      <c r="G101" s="105"/>
      <c r="H101" s="105"/>
      <c r="I101" s="16"/>
      <c r="J101" s="16"/>
      <c r="K101" s="16"/>
      <c r="L101" s="16"/>
      <c r="M101" s="17" t="s">
        <v>381</v>
      </c>
      <c r="N101" s="2" t="s">
        <v>382</v>
      </c>
      <c r="O101" s="2" t="s">
        <v>51</v>
      </c>
      <c r="P101" s="2" t="s">
        <v>51</v>
      </c>
      <c r="Q101" s="2" t="s">
        <v>223</v>
      </c>
      <c r="R101" s="2" t="s">
        <v>61</v>
      </c>
      <c r="S101" s="2" t="s">
        <v>61</v>
      </c>
      <c r="T101" s="2" t="s">
        <v>60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51</v>
      </c>
      <c r="AS101" s="2" t="s">
        <v>51</v>
      </c>
      <c r="AT101" s="3"/>
      <c r="AU101" s="2" t="s">
        <v>383</v>
      </c>
      <c r="AV101" s="3">
        <v>77</v>
      </c>
      <c r="AW101" t="str">
        <f t="shared" si="6"/>
        <v>U볼트,너트 100A</v>
      </c>
    </row>
    <row r="102" spans="1:49" ht="30" customHeight="1" x14ac:dyDescent="0.3">
      <c r="A102" s="17" t="s">
        <v>380</v>
      </c>
      <c r="B102" s="17" t="s">
        <v>315</v>
      </c>
      <c r="C102" s="17" t="s">
        <v>187</v>
      </c>
      <c r="D102" s="41"/>
      <c r="E102" s="16"/>
      <c r="F102" s="16"/>
      <c r="G102" s="105"/>
      <c r="H102" s="105"/>
      <c r="I102" s="16"/>
      <c r="J102" s="16"/>
      <c r="K102" s="16"/>
      <c r="L102" s="16"/>
      <c r="M102" s="17" t="s">
        <v>384</v>
      </c>
      <c r="N102" s="2" t="s">
        <v>385</v>
      </c>
      <c r="O102" s="2" t="s">
        <v>51</v>
      </c>
      <c r="P102" s="2" t="s">
        <v>51</v>
      </c>
      <c r="Q102" s="2" t="s">
        <v>223</v>
      </c>
      <c r="R102" s="2" t="s">
        <v>61</v>
      </c>
      <c r="S102" s="2" t="s">
        <v>61</v>
      </c>
      <c r="T102" s="2" t="s">
        <v>60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 t="s">
        <v>51</v>
      </c>
      <c r="AS102" s="2" t="s">
        <v>51</v>
      </c>
      <c r="AT102" s="3"/>
      <c r="AU102" s="2" t="s">
        <v>386</v>
      </c>
      <c r="AV102" s="3">
        <v>78</v>
      </c>
      <c r="AW102" t="str">
        <f t="shared" si="6"/>
        <v>U볼트,너트 65A</v>
      </c>
    </row>
    <row r="103" spans="1:49" ht="30" customHeight="1" x14ac:dyDescent="0.3">
      <c r="A103" s="17" t="s">
        <v>380</v>
      </c>
      <c r="B103" s="17" t="s">
        <v>265</v>
      </c>
      <c r="C103" s="17" t="s">
        <v>187</v>
      </c>
      <c r="D103" s="41"/>
      <c r="E103" s="16"/>
      <c r="F103" s="16"/>
      <c r="G103" s="105"/>
      <c r="H103" s="105"/>
      <c r="I103" s="16"/>
      <c r="J103" s="16"/>
      <c r="K103" s="16"/>
      <c r="L103" s="16"/>
      <c r="M103" s="17" t="s">
        <v>387</v>
      </c>
      <c r="N103" s="2" t="s">
        <v>388</v>
      </c>
      <c r="O103" s="2" t="s">
        <v>51</v>
      </c>
      <c r="P103" s="2" t="s">
        <v>51</v>
      </c>
      <c r="Q103" s="2" t="s">
        <v>223</v>
      </c>
      <c r="R103" s="2" t="s">
        <v>61</v>
      </c>
      <c r="S103" s="2" t="s">
        <v>61</v>
      </c>
      <c r="T103" s="2" t="s">
        <v>60</v>
      </c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2" t="s">
        <v>51</v>
      </c>
      <c r="AS103" s="2" t="s">
        <v>51</v>
      </c>
      <c r="AT103" s="3"/>
      <c r="AU103" s="2" t="s">
        <v>389</v>
      </c>
      <c r="AV103" s="3">
        <v>79</v>
      </c>
      <c r="AW103" t="str">
        <f t="shared" si="6"/>
        <v>U볼트,너트 50A</v>
      </c>
    </row>
    <row r="104" spans="1:49" ht="30" customHeight="1" x14ac:dyDescent="0.3">
      <c r="A104" s="17" t="s">
        <v>380</v>
      </c>
      <c r="B104" s="17" t="s">
        <v>273</v>
      </c>
      <c r="C104" s="17" t="s">
        <v>187</v>
      </c>
      <c r="D104" s="41"/>
      <c r="E104" s="16"/>
      <c r="F104" s="16"/>
      <c r="G104" s="105"/>
      <c r="H104" s="105"/>
      <c r="I104" s="16"/>
      <c r="J104" s="16"/>
      <c r="K104" s="16"/>
      <c r="L104" s="16"/>
      <c r="M104" s="17" t="s">
        <v>390</v>
      </c>
      <c r="N104" s="2" t="s">
        <v>391</v>
      </c>
      <c r="O104" s="2" t="s">
        <v>51</v>
      </c>
      <c r="P104" s="2" t="s">
        <v>51</v>
      </c>
      <c r="Q104" s="2" t="s">
        <v>223</v>
      </c>
      <c r="R104" s="2" t="s">
        <v>61</v>
      </c>
      <c r="S104" s="2" t="s">
        <v>61</v>
      </c>
      <c r="T104" s="2" t="s">
        <v>60</v>
      </c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2" t="s">
        <v>51</v>
      </c>
      <c r="AS104" s="2" t="s">
        <v>51</v>
      </c>
      <c r="AT104" s="3"/>
      <c r="AU104" s="2" t="s">
        <v>392</v>
      </c>
      <c r="AV104" s="3">
        <v>80</v>
      </c>
      <c r="AW104" t="str">
        <f t="shared" si="6"/>
        <v>U볼트,너트 40A</v>
      </c>
    </row>
    <row r="105" spans="1:49" ht="30" customHeight="1" x14ac:dyDescent="0.3">
      <c r="A105" s="17" t="s">
        <v>393</v>
      </c>
      <c r="B105" s="17" t="s">
        <v>394</v>
      </c>
      <c r="C105" s="17" t="s">
        <v>93</v>
      </c>
      <c r="D105" s="41"/>
      <c r="E105" s="16"/>
      <c r="F105" s="16"/>
      <c r="G105" s="105"/>
      <c r="H105" s="105"/>
      <c r="I105" s="16"/>
      <c r="J105" s="16"/>
      <c r="K105" s="16"/>
      <c r="L105" s="16"/>
      <c r="M105" s="17" t="s">
        <v>395</v>
      </c>
      <c r="N105" s="2" t="s">
        <v>396</v>
      </c>
      <c r="O105" s="2" t="s">
        <v>51</v>
      </c>
      <c r="P105" s="2" t="s">
        <v>51</v>
      </c>
      <c r="Q105" s="2" t="s">
        <v>223</v>
      </c>
      <c r="R105" s="2" t="s">
        <v>61</v>
      </c>
      <c r="S105" s="2" t="s">
        <v>61</v>
      </c>
      <c r="T105" s="2" t="s">
        <v>60</v>
      </c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2" t="s">
        <v>51</v>
      </c>
      <c r="AS105" s="2" t="s">
        <v>51</v>
      </c>
      <c r="AT105" s="3"/>
      <c r="AU105" s="2" t="s">
        <v>397</v>
      </c>
      <c r="AV105" s="3">
        <v>81</v>
      </c>
      <c r="AW105" t="str">
        <f t="shared" si="6"/>
        <v>인서트플레이트 150x150x6T</v>
      </c>
    </row>
    <row r="106" spans="1:49" ht="30" customHeight="1" x14ac:dyDescent="0.3">
      <c r="A106" s="17" t="s">
        <v>398</v>
      </c>
      <c r="B106" s="17" t="s">
        <v>399</v>
      </c>
      <c r="C106" s="17" t="s">
        <v>187</v>
      </c>
      <c r="D106" s="41"/>
      <c r="E106" s="16"/>
      <c r="F106" s="16"/>
      <c r="G106" s="16"/>
      <c r="H106" s="16"/>
      <c r="I106" s="16"/>
      <c r="J106" s="16"/>
      <c r="K106" s="16"/>
      <c r="L106" s="16"/>
      <c r="M106" s="17" t="s">
        <v>400</v>
      </c>
      <c r="N106" s="2" t="s">
        <v>401</v>
      </c>
      <c r="O106" s="2" t="s">
        <v>51</v>
      </c>
      <c r="P106" s="2" t="s">
        <v>51</v>
      </c>
      <c r="Q106" s="2" t="s">
        <v>223</v>
      </c>
      <c r="R106" s="2" t="s">
        <v>61</v>
      </c>
      <c r="S106" s="2" t="s">
        <v>61</v>
      </c>
      <c r="T106" s="2" t="s">
        <v>60</v>
      </c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2" t="s">
        <v>51</v>
      </c>
      <c r="AS106" s="2" t="s">
        <v>51</v>
      </c>
      <c r="AT106" s="3"/>
      <c r="AU106" s="2" t="s">
        <v>402</v>
      </c>
      <c r="AV106" s="3">
        <v>82</v>
      </c>
      <c r="AW106" t="str">
        <f t="shared" si="6"/>
        <v>조합페인트 2 piece</v>
      </c>
    </row>
    <row r="107" spans="1:49" ht="30" customHeight="1" x14ac:dyDescent="0.3">
      <c r="A107" s="17" t="s">
        <v>403</v>
      </c>
      <c r="B107" s="17" t="s">
        <v>404</v>
      </c>
      <c r="C107" s="17" t="s">
        <v>74</v>
      </c>
      <c r="D107" s="41"/>
      <c r="E107" s="16"/>
      <c r="F107" s="16"/>
      <c r="G107" s="105"/>
      <c r="H107" s="105"/>
      <c r="I107" s="16"/>
      <c r="J107" s="16"/>
      <c r="K107" s="16"/>
      <c r="L107" s="16"/>
      <c r="M107" s="17" t="s">
        <v>405</v>
      </c>
      <c r="N107" s="2" t="s">
        <v>406</v>
      </c>
      <c r="O107" s="2" t="s">
        <v>51</v>
      </c>
      <c r="P107" s="2" t="s">
        <v>51</v>
      </c>
      <c r="Q107" s="2" t="s">
        <v>223</v>
      </c>
      <c r="R107" s="2" t="s">
        <v>61</v>
      </c>
      <c r="S107" s="2" t="s">
        <v>61</v>
      </c>
      <c r="T107" s="2" t="s">
        <v>60</v>
      </c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2" t="s">
        <v>51</v>
      </c>
      <c r="AS107" s="2" t="s">
        <v>51</v>
      </c>
      <c r="AT107" s="3"/>
      <c r="AU107" s="2" t="s">
        <v>407</v>
      </c>
      <c r="AV107" s="3">
        <v>83</v>
      </c>
      <c r="AW107" t="str">
        <f t="shared" si="6"/>
        <v>ㄱ형강 50x50x6T</v>
      </c>
    </row>
    <row r="108" spans="1:49" ht="30" customHeight="1" x14ac:dyDescent="0.3">
      <c r="A108" s="17" t="s">
        <v>408</v>
      </c>
      <c r="B108" s="17" t="s">
        <v>106</v>
      </c>
      <c r="C108" s="17" t="s">
        <v>409</v>
      </c>
      <c r="D108" s="85"/>
      <c r="E108" s="16"/>
      <c r="F108" s="16"/>
      <c r="G108" s="16"/>
      <c r="H108" s="16"/>
      <c r="I108" s="16"/>
      <c r="J108" s="16"/>
      <c r="K108" s="16"/>
      <c r="L108" s="16"/>
      <c r="M108" s="17" t="s">
        <v>410</v>
      </c>
      <c r="N108" s="2" t="s">
        <v>411</v>
      </c>
      <c r="O108" s="2" t="s">
        <v>51</v>
      </c>
      <c r="P108" s="2" t="s">
        <v>51</v>
      </c>
      <c r="Q108" s="2" t="s">
        <v>223</v>
      </c>
      <c r="R108" s="2" t="s">
        <v>61</v>
      </c>
      <c r="S108" s="2" t="s">
        <v>61</v>
      </c>
      <c r="T108" s="2" t="s">
        <v>60</v>
      </c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2" t="s">
        <v>51</v>
      </c>
      <c r="AS108" s="2" t="s">
        <v>51</v>
      </c>
      <c r="AT108" s="3"/>
      <c r="AU108" s="2" t="s">
        <v>412</v>
      </c>
      <c r="AV108" s="3">
        <v>84</v>
      </c>
      <c r="AW108" t="str">
        <f t="shared" si="6"/>
        <v>잡철물제작설치 간단</v>
      </c>
    </row>
    <row r="109" spans="1:49" ht="30" customHeight="1" x14ac:dyDescent="0.3">
      <c r="A109" s="17" t="s">
        <v>413</v>
      </c>
      <c r="B109" s="17" t="s">
        <v>414</v>
      </c>
      <c r="C109" s="17" t="s">
        <v>187</v>
      </c>
      <c r="D109" s="41"/>
      <c r="E109" s="16"/>
      <c r="F109" s="16"/>
      <c r="G109" s="16"/>
      <c r="H109" s="16"/>
      <c r="I109" s="16"/>
      <c r="J109" s="16"/>
      <c r="K109" s="16"/>
      <c r="L109" s="16"/>
      <c r="M109" s="17" t="s">
        <v>415</v>
      </c>
      <c r="N109" s="2" t="s">
        <v>416</v>
      </c>
      <c r="O109" s="2" t="s">
        <v>51</v>
      </c>
      <c r="P109" s="2" t="s">
        <v>51</v>
      </c>
      <c r="Q109" s="2" t="s">
        <v>223</v>
      </c>
      <c r="R109" s="2" t="s">
        <v>61</v>
      </c>
      <c r="S109" s="2" t="s">
        <v>61</v>
      </c>
      <c r="T109" s="2" t="s">
        <v>60</v>
      </c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2" t="s">
        <v>51</v>
      </c>
      <c r="AS109" s="2" t="s">
        <v>51</v>
      </c>
      <c r="AT109" s="3"/>
      <c r="AU109" s="2" t="s">
        <v>417</v>
      </c>
      <c r="AV109" s="3">
        <v>85</v>
      </c>
      <c r="AW109" t="str">
        <f t="shared" si="6"/>
        <v>내진앙카볼트 M12</v>
      </c>
    </row>
    <row r="110" spans="1:49" ht="30" customHeight="1" x14ac:dyDescent="0.3">
      <c r="A110" s="17" t="s">
        <v>418</v>
      </c>
      <c r="B110" s="17" t="s">
        <v>419</v>
      </c>
      <c r="C110" s="17" t="s">
        <v>187</v>
      </c>
      <c r="D110" s="41"/>
      <c r="E110" s="16"/>
      <c r="F110" s="16"/>
      <c r="G110" s="16"/>
      <c r="H110" s="16"/>
      <c r="I110" s="16"/>
      <c r="J110" s="16"/>
      <c r="K110" s="16"/>
      <c r="L110" s="16"/>
      <c r="M110" s="17" t="s">
        <v>420</v>
      </c>
      <c r="N110" s="2" t="s">
        <v>421</v>
      </c>
      <c r="O110" s="2" t="s">
        <v>51</v>
      </c>
      <c r="P110" s="2" t="s">
        <v>51</v>
      </c>
      <c r="Q110" s="2" t="s">
        <v>223</v>
      </c>
      <c r="R110" s="2" t="s">
        <v>61</v>
      </c>
      <c r="S110" s="2" t="s">
        <v>61</v>
      </c>
      <c r="T110" s="2" t="s">
        <v>60</v>
      </c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2" t="s">
        <v>51</v>
      </c>
      <c r="AS110" s="2" t="s">
        <v>51</v>
      </c>
      <c r="AT110" s="3"/>
      <c r="AU110" s="2" t="s">
        <v>422</v>
      </c>
      <c r="AV110" s="3">
        <v>86</v>
      </c>
      <c r="AW110" t="str">
        <f t="shared" si="6"/>
        <v>셋트앙카볼트 	3/8×70(9×70)</v>
      </c>
    </row>
    <row r="111" spans="1:49" ht="30" customHeight="1" x14ac:dyDescent="0.3">
      <c r="A111" s="17" t="s">
        <v>423</v>
      </c>
      <c r="B111" s="17" t="s">
        <v>424</v>
      </c>
      <c r="C111" s="17" t="s">
        <v>93</v>
      </c>
      <c r="D111" s="41"/>
      <c r="E111" s="16"/>
      <c r="F111" s="16"/>
      <c r="G111" s="16"/>
      <c r="H111" s="16"/>
      <c r="I111" s="16"/>
      <c r="J111" s="16"/>
      <c r="K111" s="16"/>
      <c r="L111" s="16"/>
      <c r="M111" s="17" t="s">
        <v>425</v>
      </c>
      <c r="N111" s="2" t="s">
        <v>426</v>
      </c>
      <c r="O111" s="2" t="s">
        <v>51</v>
      </c>
      <c r="P111" s="2" t="s">
        <v>51</v>
      </c>
      <c r="Q111" s="2" t="s">
        <v>223</v>
      </c>
      <c r="R111" s="2" t="s">
        <v>61</v>
      </c>
      <c r="S111" s="2" t="s">
        <v>61</v>
      </c>
      <c r="T111" s="2" t="s">
        <v>60</v>
      </c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2" t="s">
        <v>51</v>
      </c>
      <c r="AS111" s="2" t="s">
        <v>51</v>
      </c>
      <c r="AT111" s="3"/>
      <c r="AU111" s="2" t="s">
        <v>427</v>
      </c>
      <c r="AV111" s="3">
        <v>87</v>
      </c>
      <c r="AW111" t="str">
        <f t="shared" si="6"/>
        <v>벽체타공(과압배출구설치) 600mm</v>
      </c>
    </row>
    <row r="112" spans="1:49" ht="30" customHeight="1" x14ac:dyDescent="0.3">
      <c r="A112" s="17" t="s">
        <v>423</v>
      </c>
      <c r="B112" s="17" t="s">
        <v>428</v>
      </c>
      <c r="C112" s="17" t="s">
        <v>93</v>
      </c>
      <c r="D112" s="41"/>
      <c r="E112" s="16"/>
      <c r="F112" s="16"/>
      <c r="G112" s="16"/>
      <c r="H112" s="16"/>
      <c r="I112" s="16"/>
      <c r="J112" s="16"/>
      <c r="K112" s="16"/>
      <c r="L112" s="16"/>
      <c r="M112" s="17" t="s">
        <v>429</v>
      </c>
      <c r="N112" s="2" t="s">
        <v>430</v>
      </c>
      <c r="O112" s="2" t="s">
        <v>51</v>
      </c>
      <c r="P112" s="2" t="s">
        <v>51</v>
      </c>
      <c r="Q112" s="2" t="s">
        <v>223</v>
      </c>
      <c r="R112" s="2" t="s">
        <v>61</v>
      </c>
      <c r="S112" s="2" t="s">
        <v>61</v>
      </c>
      <c r="T112" s="2" t="s">
        <v>60</v>
      </c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2" t="s">
        <v>51</v>
      </c>
      <c r="AS112" s="2" t="s">
        <v>51</v>
      </c>
      <c r="AT112" s="3"/>
      <c r="AU112" s="2" t="s">
        <v>431</v>
      </c>
      <c r="AV112" s="3">
        <v>88</v>
      </c>
      <c r="AW112" t="str">
        <f t="shared" si="6"/>
        <v>벽체타공(과압배출구설치) 400mm</v>
      </c>
    </row>
    <row r="113" spans="1:49" ht="30" customHeight="1" x14ac:dyDescent="0.3">
      <c r="A113" s="17" t="s">
        <v>423</v>
      </c>
      <c r="B113" s="17" t="s">
        <v>432</v>
      </c>
      <c r="C113" s="17" t="s">
        <v>93</v>
      </c>
      <c r="D113" s="41"/>
      <c r="E113" s="16"/>
      <c r="F113" s="16"/>
      <c r="G113" s="16"/>
      <c r="H113" s="16"/>
      <c r="I113" s="16"/>
      <c r="J113" s="16"/>
      <c r="K113" s="16"/>
      <c r="L113" s="16"/>
      <c r="M113" s="17" t="s">
        <v>433</v>
      </c>
      <c r="N113" s="2" t="s">
        <v>434</v>
      </c>
      <c r="O113" s="2" t="s">
        <v>51</v>
      </c>
      <c r="P113" s="2" t="s">
        <v>51</v>
      </c>
      <c r="Q113" s="2" t="s">
        <v>223</v>
      </c>
      <c r="R113" s="2" t="s">
        <v>61</v>
      </c>
      <c r="S113" s="2" t="s">
        <v>61</v>
      </c>
      <c r="T113" s="2" t="s">
        <v>60</v>
      </c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2" t="s">
        <v>51</v>
      </c>
      <c r="AS113" s="2" t="s">
        <v>51</v>
      </c>
      <c r="AT113" s="3"/>
      <c r="AU113" s="2" t="s">
        <v>435</v>
      </c>
      <c r="AV113" s="3">
        <v>89</v>
      </c>
      <c r="AW113" t="str">
        <f t="shared" si="6"/>
        <v>벽체타공(과압배출구설치) 300mm</v>
      </c>
    </row>
    <row r="114" spans="1:49" ht="30" customHeight="1" x14ac:dyDescent="0.3">
      <c r="A114" s="17" t="s">
        <v>423</v>
      </c>
      <c r="B114" s="17" t="s">
        <v>436</v>
      </c>
      <c r="C114" s="17" t="s">
        <v>93</v>
      </c>
      <c r="D114" s="41"/>
      <c r="E114" s="16"/>
      <c r="F114" s="16"/>
      <c r="G114" s="16"/>
      <c r="H114" s="16"/>
      <c r="I114" s="16"/>
      <c r="J114" s="16"/>
      <c r="K114" s="16"/>
      <c r="L114" s="16"/>
      <c r="M114" s="17" t="s">
        <v>437</v>
      </c>
      <c r="N114" s="2" t="s">
        <v>438</v>
      </c>
      <c r="O114" s="2" t="s">
        <v>51</v>
      </c>
      <c r="P114" s="2" t="s">
        <v>51</v>
      </c>
      <c r="Q114" s="2" t="s">
        <v>223</v>
      </c>
      <c r="R114" s="2" t="s">
        <v>61</v>
      </c>
      <c r="S114" s="2" t="s">
        <v>61</v>
      </c>
      <c r="T114" s="2" t="s">
        <v>60</v>
      </c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2" t="s">
        <v>51</v>
      </c>
      <c r="AS114" s="2" t="s">
        <v>51</v>
      </c>
      <c r="AT114" s="3"/>
      <c r="AU114" s="2" t="s">
        <v>439</v>
      </c>
      <c r="AV114" s="3">
        <v>90</v>
      </c>
      <c r="AW114" t="str">
        <f t="shared" si="6"/>
        <v>벽체타공(과압배출구설치) 200mm</v>
      </c>
    </row>
    <row r="115" spans="1:49" ht="30" customHeight="1" x14ac:dyDescent="0.3">
      <c r="A115" s="17" t="s">
        <v>440</v>
      </c>
      <c r="B115" s="17" t="s">
        <v>441</v>
      </c>
      <c r="C115" s="17" t="s">
        <v>442</v>
      </c>
      <c r="D115" s="41"/>
      <c r="E115" s="16"/>
      <c r="F115" s="16"/>
      <c r="G115" s="105"/>
      <c r="H115" s="105"/>
      <c r="I115" s="16"/>
      <c r="J115" s="16"/>
      <c r="K115" s="16"/>
      <c r="L115" s="16"/>
      <c r="M115" s="17" t="s">
        <v>443</v>
      </c>
      <c r="N115" s="2" t="s">
        <v>444</v>
      </c>
      <c r="O115" s="2" t="s">
        <v>51</v>
      </c>
      <c r="P115" s="2" t="s">
        <v>51</v>
      </c>
      <c r="Q115" s="2" t="s">
        <v>223</v>
      </c>
      <c r="R115" s="2" t="s">
        <v>61</v>
      </c>
      <c r="S115" s="2" t="s">
        <v>61</v>
      </c>
      <c r="T115" s="2" t="s">
        <v>60</v>
      </c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2" t="s">
        <v>51</v>
      </c>
      <c r="AS115" s="2" t="s">
        <v>51</v>
      </c>
      <c r="AT115" s="3"/>
      <c r="AU115" s="2" t="s">
        <v>445</v>
      </c>
      <c r="AV115" s="3">
        <v>91</v>
      </c>
      <c r="AW115" t="str">
        <f t="shared" si="6"/>
        <v>제품검사비(설계심사) 1구역</v>
      </c>
    </row>
    <row r="116" spans="1:49" ht="30" customHeight="1" x14ac:dyDescent="0.3">
      <c r="A116" s="17" t="s">
        <v>446</v>
      </c>
      <c r="B116" s="17" t="s">
        <v>447</v>
      </c>
      <c r="C116" s="17" t="s">
        <v>448</v>
      </c>
      <c r="D116" s="41"/>
      <c r="E116" s="16"/>
      <c r="F116" s="16"/>
      <c r="G116" s="16"/>
      <c r="H116" s="16"/>
      <c r="I116" s="16"/>
      <c r="J116" s="16"/>
      <c r="K116" s="16"/>
      <c r="L116" s="16"/>
      <c r="M116" s="17" t="s">
        <v>449</v>
      </c>
      <c r="N116" s="2" t="s">
        <v>450</v>
      </c>
      <c r="O116" s="2" t="s">
        <v>51</v>
      </c>
      <c r="P116" s="2" t="s">
        <v>51</v>
      </c>
      <c r="Q116" s="2" t="s">
        <v>223</v>
      </c>
      <c r="R116" s="2" t="s">
        <v>61</v>
      </c>
      <c r="S116" s="2" t="s">
        <v>61</v>
      </c>
      <c r="T116" s="2" t="s">
        <v>60</v>
      </c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2" t="s">
        <v>51</v>
      </c>
      <c r="AS116" s="2" t="s">
        <v>51</v>
      </c>
      <c r="AT116" s="3"/>
      <c r="AU116" s="2" t="s">
        <v>451</v>
      </c>
      <c r="AV116" s="3">
        <v>92</v>
      </c>
      <c r="AW116" t="str">
        <f t="shared" si="6"/>
        <v>피스톤릴리즈댐퍼 (STL)특수각형댐퍼,상대익형날개</v>
      </c>
    </row>
    <row r="117" spans="1:49" ht="30" customHeight="1" x14ac:dyDescent="0.3">
      <c r="A117" s="17" t="s">
        <v>452</v>
      </c>
      <c r="B117" s="17" t="s">
        <v>453</v>
      </c>
      <c r="C117" s="17" t="s">
        <v>132</v>
      </c>
      <c r="D117" s="41"/>
      <c r="E117" s="16"/>
      <c r="F117" s="16"/>
      <c r="G117" s="105"/>
      <c r="H117" s="105"/>
      <c r="I117" s="16"/>
      <c r="J117" s="16"/>
      <c r="K117" s="16"/>
      <c r="L117" s="16"/>
      <c r="M117" s="17" t="s">
        <v>454</v>
      </c>
      <c r="N117" s="2" t="s">
        <v>455</v>
      </c>
      <c r="O117" s="2" t="s">
        <v>51</v>
      </c>
      <c r="P117" s="2" t="s">
        <v>51</v>
      </c>
      <c r="Q117" s="2" t="s">
        <v>223</v>
      </c>
      <c r="R117" s="2" t="s">
        <v>61</v>
      </c>
      <c r="S117" s="2" t="s">
        <v>61</v>
      </c>
      <c r="T117" s="2" t="s">
        <v>60</v>
      </c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2" t="s">
        <v>51</v>
      </c>
      <c r="AS117" s="2" t="s">
        <v>51</v>
      </c>
      <c r="AT117" s="3"/>
      <c r="AU117" s="2" t="s">
        <v>456</v>
      </c>
      <c r="AV117" s="3">
        <v>93</v>
      </c>
      <c r="AW117" t="str">
        <f t="shared" si="6"/>
        <v>피스톤릴리즈 일반피스톤</v>
      </c>
    </row>
    <row r="118" spans="1:49" ht="30" customHeight="1" x14ac:dyDescent="0.3">
      <c r="A118" s="17" t="s">
        <v>457</v>
      </c>
      <c r="B118" s="17" t="s">
        <v>251</v>
      </c>
      <c r="C118" s="17" t="s">
        <v>57</v>
      </c>
      <c r="D118" s="41"/>
      <c r="E118" s="16"/>
      <c r="F118" s="16"/>
      <c r="G118" s="16"/>
      <c r="H118" s="16"/>
      <c r="I118" s="16"/>
      <c r="J118" s="16"/>
      <c r="K118" s="16"/>
      <c r="L118" s="16"/>
      <c r="M118" s="17" t="s">
        <v>458</v>
      </c>
      <c r="N118" s="2" t="s">
        <v>459</v>
      </c>
      <c r="O118" s="2" t="s">
        <v>51</v>
      </c>
      <c r="P118" s="2" t="s">
        <v>51</v>
      </c>
      <c r="Q118" s="2" t="s">
        <v>223</v>
      </c>
      <c r="R118" s="2" t="s">
        <v>61</v>
      </c>
      <c r="S118" s="2" t="s">
        <v>61</v>
      </c>
      <c r="T118" s="2" t="s">
        <v>60</v>
      </c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2" t="s">
        <v>51</v>
      </c>
      <c r="AS118" s="2" t="s">
        <v>51</v>
      </c>
      <c r="AT118" s="3"/>
      <c r="AU118" s="2" t="s">
        <v>460</v>
      </c>
      <c r="AV118" s="3">
        <v>94</v>
      </c>
      <c r="AW118" t="str">
        <f t="shared" si="6"/>
        <v>동관 6A</v>
      </c>
    </row>
    <row r="119" spans="1:49" ht="30" customHeight="1" x14ac:dyDescent="0.3">
      <c r="A119" s="17" t="s">
        <v>461</v>
      </c>
      <c r="B119" s="17" t="s">
        <v>251</v>
      </c>
      <c r="C119" s="17" t="s">
        <v>187</v>
      </c>
      <c r="D119" s="41"/>
      <c r="E119" s="16"/>
      <c r="F119" s="16"/>
      <c r="G119" s="16"/>
      <c r="H119" s="16"/>
      <c r="I119" s="16"/>
      <c r="J119" s="16"/>
      <c r="K119" s="16"/>
      <c r="L119" s="16"/>
      <c r="M119" s="17" t="s">
        <v>462</v>
      </c>
      <c r="N119" s="2" t="s">
        <v>463</v>
      </c>
      <c r="O119" s="2" t="s">
        <v>51</v>
      </c>
      <c r="P119" s="2" t="s">
        <v>51</v>
      </c>
      <c r="Q119" s="2" t="s">
        <v>223</v>
      </c>
      <c r="R119" s="2" t="s">
        <v>61</v>
      </c>
      <c r="S119" s="2" t="s">
        <v>61</v>
      </c>
      <c r="T119" s="2" t="s">
        <v>60</v>
      </c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2" t="s">
        <v>51</v>
      </c>
      <c r="AS119" s="2" t="s">
        <v>51</v>
      </c>
      <c r="AT119" s="3"/>
      <c r="AU119" s="2" t="s">
        <v>464</v>
      </c>
      <c r="AV119" s="3">
        <v>95</v>
      </c>
      <c r="AW119" t="str">
        <f t="shared" si="6"/>
        <v>동체크밸브 6A</v>
      </c>
    </row>
    <row r="120" spans="1:49" ht="30" customHeight="1" x14ac:dyDescent="0.3">
      <c r="A120" s="17" t="s">
        <v>465</v>
      </c>
      <c r="B120" s="17" t="s">
        <v>251</v>
      </c>
      <c r="C120" s="17" t="s">
        <v>187</v>
      </c>
      <c r="D120" s="41"/>
      <c r="E120" s="16"/>
      <c r="F120" s="16"/>
      <c r="G120" s="105"/>
      <c r="H120" s="105"/>
      <c r="I120" s="16"/>
      <c r="J120" s="16"/>
      <c r="K120" s="16"/>
      <c r="L120" s="16"/>
      <c r="M120" s="17" t="s">
        <v>466</v>
      </c>
      <c r="N120" s="2" t="s">
        <v>467</v>
      </c>
      <c r="O120" s="2" t="s">
        <v>51</v>
      </c>
      <c r="P120" s="2" t="s">
        <v>51</v>
      </c>
      <c r="Q120" s="2" t="s">
        <v>223</v>
      </c>
      <c r="R120" s="2" t="s">
        <v>61</v>
      </c>
      <c r="S120" s="2" t="s">
        <v>61</v>
      </c>
      <c r="T120" s="2" t="s">
        <v>60</v>
      </c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2" t="s">
        <v>51</v>
      </c>
      <c r="AS120" s="2" t="s">
        <v>51</v>
      </c>
      <c r="AT120" s="3"/>
      <c r="AU120" s="2" t="s">
        <v>468</v>
      </c>
      <c r="AV120" s="3">
        <v>96</v>
      </c>
      <c r="AW120" t="str">
        <f t="shared" si="6"/>
        <v>동티 6A</v>
      </c>
    </row>
    <row r="121" spans="1:49" ht="30" customHeight="1" x14ac:dyDescent="0.3">
      <c r="A121" s="17" t="s">
        <v>469</v>
      </c>
      <c r="B121" s="17" t="s">
        <v>251</v>
      </c>
      <c r="C121" s="17" t="s">
        <v>187</v>
      </c>
      <c r="D121" s="41"/>
      <c r="E121" s="16"/>
      <c r="F121" s="16"/>
      <c r="G121" s="105"/>
      <c r="H121" s="105"/>
      <c r="I121" s="16"/>
      <c r="J121" s="16"/>
      <c r="K121" s="16"/>
      <c r="L121" s="16"/>
      <c r="M121" s="17" t="s">
        <v>470</v>
      </c>
      <c r="N121" s="2" t="s">
        <v>471</v>
      </c>
      <c r="O121" s="2" t="s">
        <v>51</v>
      </c>
      <c r="P121" s="2" t="s">
        <v>51</v>
      </c>
      <c r="Q121" s="2" t="s">
        <v>223</v>
      </c>
      <c r="R121" s="2" t="s">
        <v>61</v>
      </c>
      <c r="S121" s="2" t="s">
        <v>61</v>
      </c>
      <c r="T121" s="2" t="s">
        <v>60</v>
      </c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2" t="s">
        <v>51</v>
      </c>
      <c r="AS121" s="2" t="s">
        <v>51</v>
      </c>
      <c r="AT121" s="3"/>
      <c r="AU121" s="2" t="s">
        <v>472</v>
      </c>
      <c r="AV121" s="3">
        <v>97</v>
      </c>
      <c r="AW121" t="str">
        <f t="shared" si="6"/>
        <v>동소켓 6A</v>
      </c>
    </row>
    <row r="122" spans="1:49" ht="30" customHeight="1" x14ac:dyDescent="0.3">
      <c r="A122" s="17" t="s">
        <v>473</v>
      </c>
      <c r="B122" s="17" t="s">
        <v>474</v>
      </c>
      <c r="C122" s="17" t="s">
        <v>187</v>
      </c>
      <c r="D122" s="41"/>
      <c r="E122" s="16"/>
      <c r="F122" s="16"/>
      <c r="G122" s="105"/>
      <c r="H122" s="105"/>
      <c r="I122" s="16"/>
      <c r="J122" s="16"/>
      <c r="K122" s="16"/>
      <c r="L122" s="16"/>
      <c r="M122" s="17" t="s">
        <v>475</v>
      </c>
      <c r="N122" s="2" t="s">
        <v>476</v>
      </c>
      <c r="O122" s="2" t="s">
        <v>51</v>
      </c>
      <c r="P122" s="2" t="s">
        <v>51</v>
      </c>
      <c r="Q122" s="2" t="s">
        <v>223</v>
      </c>
      <c r="R122" s="2" t="s">
        <v>61</v>
      </c>
      <c r="S122" s="2" t="s">
        <v>61</v>
      </c>
      <c r="T122" s="2" t="s">
        <v>60</v>
      </c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2" t="s">
        <v>51</v>
      </c>
      <c r="AS122" s="2" t="s">
        <v>51</v>
      </c>
      <c r="AT122" s="3"/>
      <c r="AU122" s="2" t="s">
        <v>477</v>
      </c>
      <c r="AV122" s="3">
        <v>98</v>
      </c>
      <c r="AW122" t="str">
        <f t="shared" si="6"/>
        <v>단조소켓 15A</v>
      </c>
    </row>
    <row r="123" spans="1:49" ht="30" customHeight="1" x14ac:dyDescent="0.3">
      <c r="A123" s="17" t="s">
        <v>478</v>
      </c>
      <c r="B123" s="17" t="s">
        <v>479</v>
      </c>
      <c r="C123" s="17" t="s">
        <v>187</v>
      </c>
      <c r="D123" s="41"/>
      <c r="E123" s="16"/>
      <c r="F123" s="16"/>
      <c r="G123" s="105"/>
      <c r="H123" s="105"/>
      <c r="I123" s="16"/>
      <c r="J123" s="16"/>
      <c r="K123" s="16"/>
      <c r="L123" s="16"/>
      <c r="M123" s="17" t="s">
        <v>480</v>
      </c>
      <c r="N123" s="2" t="s">
        <v>481</v>
      </c>
      <c r="O123" s="2" t="s">
        <v>51</v>
      </c>
      <c r="P123" s="2" t="s">
        <v>51</v>
      </c>
      <c r="Q123" s="2" t="s">
        <v>223</v>
      </c>
      <c r="R123" s="2" t="s">
        <v>61</v>
      </c>
      <c r="S123" s="2" t="s">
        <v>61</v>
      </c>
      <c r="T123" s="2" t="s">
        <v>60</v>
      </c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2" t="s">
        <v>51</v>
      </c>
      <c r="AS123" s="2" t="s">
        <v>51</v>
      </c>
      <c r="AT123" s="3"/>
      <c r="AU123" s="2" t="s">
        <v>482</v>
      </c>
      <c r="AV123" s="3">
        <v>99</v>
      </c>
      <c r="AW123" t="str">
        <f t="shared" si="6"/>
        <v>동어댑터 15A x 6A</v>
      </c>
    </row>
    <row r="124" spans="1:49" ht="30" customHeight="1" x14ac:dyDescent="0.3">
      <c r="A124" s="17" t="s">
        <v>483</v>
      </c>
      <c r="B124" s="17" t="s">
        <v>484</v>
      </c>
      <c r="C124" s="17" t="s">
        <v>187</v>
      </c>
      <c r="D124" s="41"/>
      <c r="E124" s="16"/>
      <c r="F124" s="16"/>
      <c r="G124" s="16"/>
      <c r="H124" s="16"/>
      <c r="I124" s="16"/>
      <c r="J124" s="16"/>
      <c r="K124" s="16"/>
      <c r="L124" s="16"/>
      <c r="M124" s="17" t="s">
        <v>485</v>
      </c>
      <c r="N124" s="2" t="s">
        <v>486</v>
      </c>
      <c r="O124" s="2" t="s">
        <v>51</v>
      </c>
      <c r="P124" s="2" t="s">
        <v>51</v>
      </c>
      <c r="Q124" s="2" t="s">
        <v>223</v>
      </c>
      <c r="R124" s="2" t="s">
        <v>61</v>
      </c>
      <c r="S124" s="2" t="s">
        <v>61</v>
      </c>
      <c r="T124" s="2" t="s">
        <v>60</v>
      </c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2" t="s">
        <v>51</v>
      </c>
      <c r="AS124" s="2" t="s">
        <v>51</v>
      </c>
      <c r="AT124" s="3"/>
      <c r="AU124" s="2" t="s">
        <v>487</v>
      </c>
      <c r="AV124" s="3">
        <v>100</v>
      </c>
      <c r="AW124" t="str">
        <f t="shared" si="6"/>
        <v>수동복구함 가스압식</v>
      </c>
    </row>
    <row r="125" spans="1:49" ht="30" customHeight="1" x14ac:dyDescent="0.3">
      <c r="A125" s="17" t="s">
        <v>488</v>
      </c>
      <c r="B125" s="17" t="s">
        <v>489</v>
      </c>
      <c r="C125" s="17" t="s">
        <v>74</v>
      </c>
      <c r="D125" s="41"/>
      <c r="E125" s="16"/>
      <c r="F125" s="16"/>
      <c r="G125" s="16"/>
      <c r="H125" s="16"/>
      <c r="I125" s="16"/>
      <c r="J125" s="16"/>
      <c r="K125" s="16"/>
      <c r="L125" s="16"/>
      <c r="M125" s="17" t="s">
        <v>490</v>
      </c>
      <c r="N125" s="2" t="s">
        <v>491</v>
      </c>
      <c r="O125" s="2" t="s">
        <v>51</v>
      </c>
      <c r="P125" s="2" t="s">
        <v>51</v>
      </c>
      <c r="Q125" s="2" t="s">
        <v>223</v>
      </c>
      <c r="R125" s="2" t="s">
        <v>61</v>
      </c>
      <c r="S125" s="2" t="s">
        <v>61</v>
      </c>
      <c r="T125" s="2" t="s">
        <v>60</v>
      </c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 t="s">
        <v>51</v>
      </c>
      <c r="AS125" s="2" t="s">
        <v>51</v>
      </c>
      <c r="AT125" s="3"/>
      <c r="AU125" s="2" t="s">
        <v>492</v>
      </c>
      <c r="AV125" s="3">
        <v>101</v>
      </c>
      <c r="AW125" t="str">
        <f t="shared" si="6"/>
        <v>스틸전선관 16C</v>
      </c>
    </row>
    <row r="126" spans="1:49" ht="30" customHeight="1" x14ac:dyDescent="0.3">
      <c r="A126" s="17" t="s">
        <v>493</v>
      </c>
      <c r="B126" s="17" t="s">
        <v>489</v>
      </c>
      <c r="C126" s="17" t="s">
        <v>187</v>
      </c>
      <c r="D126" s="41"/>
      <c r="E126" s="16"/>
      <c r="F126" s="16"/>
      <c r="G126" s="105"/>
      <c r="H126" s="105"/>
      <c r="I126" s="16"/>
      <c r="J126" s="16"/>
      <c r="K126" s="16"/>
      <c r="L126" s="16"/>
      <c r="M126" s="17" t="s">
        <v>494</v>
      </c>
      <c r="N126" s="2" t="s">
        <v>495</v>
      </c>
      <c r="O126" s="2" t="s">
        <v>51</v>
      </c>
      <c r="P126" s="2" t="s">
        <v>51</v>
      </c>
      <c r="Q126" s="2" t="s">
        <v>223</v>
      </c>
      <c r="R126" s="2" t="s">
        <v>61</v>
      </c>
      <c r="S126" s="2" t="s">
        <v>61</v>
      </c>
      <c r="T126" s="2" t="s">
        <v>60</v>
      </c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2" t="s">
        <v>51</v>
      </c>
      <c r="AS126" s="2" t="s">
        <v>51</v>
      </c>
      <c r="AT126" s="3"/>
      <c r="AU126" s="2" t="s">
        <v>496</v>
      </c>
      <c r="AV126" s="3">
        <v>102</v>
      </c>
      <c r="AW126" t="str">
        <f t="shared" si="6"/>
        <v>양새들 16C</v>
      </c>
    </row>
    <row r="127" spans="1:49" ht="30" customHeight="1" x14ac:dyDescent="0.3">
      <c r="A127" s="17" t="s">
        <v>497</v>
      </c>
      <c r="B127" s="17" t="s">
        <v>489</v>
      </c>
      <c r="C127" s="17" t="s">
        <v>187</v>
      </c>
      <c r="D127" s="41"/>
      <c r="E127" s="16"/>
      <c r="F127" s="16"/>
      <c r="G127" s="105"/>
      <c r="H127" s="105"/>
      <c r="I127" s="16"/>
      <c r="J127" s="16"/>
      <c r="K127" s="16"/>
      <c r="L127" s="16"/>
      <c r="M127" s="17" t="s">
        <v>498</v>
      </c>
      <c r="N127" s="2" t="s">
        <v>499</v>
      </c>
      <c r="O127" s="2" t="s">
        <v>51</v>
      </c>
      <c r="P127" s="2" t="s">
        <v>51</v>
      </c>
      <c r="Q127" s="2" t="s">
        <v>223</v>
      </c>
      <c r="R127" s="2" t="s">
        <v>61</v>
      </c>
      <c r="S127" s="2" t="s">
        <v>61</v>
      </c>
      <c r="T127" s="2" t="s">
        <v>60</v>
      </c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2" t="s">
        <v>51</v>
      </c>
      <c r="AS127" s="2" t="s">
        <v>51</v>
      </c>
      <c r="AT127" s="3"/>
      <c r="AU127" s="2" t="s">
        <v>500</v>
      </c>
      <c r="AV127" s="3">
        <v>103</v>
      </c>
      <c r="AW127" t="str">
        <f t="shared" si="6"/>
        <v>로크너트 16C</v>
      </c>
    </row>
    <row r="128" spans="1:49" ht="30" customHeight="1" x14ac:dyDescent="0.3">
      <c r="A128" s="17" t="s">
        <v>501</v>
      </c>
      <c r="B128" s="17" t="s">
        <v>502</v>
      </c>
      <c r="C128" s="17" t="s">
        <v>503</v>
      </c>
      <c r="D128" s="41"/>
      <c r="E128" s="16"/>
      <c r="F128" s="16"/>
      <c r="G128" s="105"/>
      <c r="H128" s="105"/>
      <c r="I128" s="16"/>
      <c r="J128" s="16"/>
      <c r="K128" s="16"/>
      <c r="L128" s="16"/>
      <c r="M128" s="17" t="s">
        <v>504</v>
      </c>
      <c r="N128" s="2" t="s">
        <v>505</v>
      </c>
      <c r="O128" s="2" t="s">
        <v>51</v>
      </c>
      <c r="P128" s="2" t="s">
        <v>51</v>
      </c>
      <c r="Q128" s="2" t="s">
        <v>223</v>
      </c>
      <c r="R128" s="2" t="s">
        <v>61</v>
      </c>
      <c r="S128" s="2" t="s">
        <v>61</v>
      </c>
      <c r="T128" s="2" t="s">
        <v>60</v>
      </c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2" t="s">
        <v>51</v>
      </c>
      <c r="AS128" s="2" t="s">
        <v>51</v>
      </c>
      <c r="AT128" s="3"/>
      <c r="AU128" s="2" t="s">
        <v>506</v>
      </c>
      <c r="AV128" s="3">
        <v>104</v>
      </c>
      <c r="AW128" t="str">
        <f t="shared" si="6"/>
        <v>신설 소모잡자재비 관의 3%</v>
      </c>
    </row>
    <row r="129" spans="1:49" ht="30" customHeight="1" x14ac:dyDescent="0.3">
      <c r="A129" s="17" t="s">
        <v>507</v>
      </c>
      <c r="B129" s="17" t="s">
        <v>508</v>
      </c>
      <c r="C129" s="17" t="s">
        <v>503</v>
      </c>
      <c r="D129" s="41"/>
      <c r="E129" s="16"/>
      <c r="F129" s="16"/>
      <c r="G129" s="105"/>
      <c r="H129" s="105"/>
      <c r="I129" s="16"/>
      <c r="J129" s="16"/>
      <c r="K129" s="16"/>
      <c r="L129" s="16"/>
      <c r="M129" s="17" t="s">
        <v>509</v>
      </c>
      <c r="N129" s="2" t="s">
        <v>510</v>
      </c>
      <c r="O129" s="2" t="s">
        <v>51</v>
      </c>
      <c r="P129" s="2" t="s">
        <v>51</v>
      </c>
      <c r="Q129" s="2" t="s">
        <v>223</v>
      </c>
      <c r="R129" s="2" t="s">
        <v>61</v>
      </c>
      <c r="S129" s="2" t="s">
        <v>61</v>
      </c>
      <c r="T129" s="2" t="s">
        <v>60</v>
      </c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2" t="s">
        <v>51</v>
      </c>
      <c r="AS129" s="2" t="s">
        <v>51</v>
      </c>
      <c r="AT129" s="3"/>
      <c r="AU129" s="2" t="s">
        <v>511</v>
      </c>
      <c r="AV129" s="3">
        <v>105</v>
      </c>
      <c r="AW129" t="str">
        <f t="shared" si="6"/>
        <v>신설 공구손료 노무비의 3%</v>
      </c>
    </row>
    <row r="130" spans="1:49" ht="30" customHeight="1" x14ac:dyDescent="0.3">
      <c r="A130" s="17" t="s">
        <v>512</v>
      </c>
      <c r="B130" s="17" t="s">
        <v>513</v>
      </c>
      <c r="C130" s="17" t="s">
        <v>226</v>
      </c>
      <c r="D130" s="41"/>
      <c r="E130" s="16"/>
      <c r="F130" s="16"/>
      <c r="G130" s="16"/>
      <c r="H130" s="16"/>
      <c r="I130" s="16"/>
      <c r="J130" s="16"/>
      <c r="K130" s="16"/>
      <c r="L130" s="16"/>
      <c r="M130" s="17" t="s">
        <v>514</v>
      </c>
      <c r="N130" s="2" t="s">
        <v>515</v>
      </c>
      <c r="O130" s="2" t="s">
        <v>51</v>
      </c>
      <c r="P130" s="2" t="s">
        <v>51</v>
      </c>
      <c r="Q130" s="2" t="s">
        <v>223</v>
      </c>
      <c r="R130" s="2" t="s">
        <v>61</v>
      </c>
      <c r="S130" s="2" t="s">
        <v>61</v>
      </c>
      <c r="T130" s="2" t="s">
        <v>60</v>
      </c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2" t="s">
        <v>51</v>
      </c>
      <c r="AS130" s="2" t="s">
        <v>51</v>
      </c>
      <c r="AT130" s="3"/>
      <c r="AU130" s="2" t="s">
        <v>516</v>
      </c>
      <c r="AV130" s="3">
        <v>106</v>
      </c>
      <c r="AW130" t="str">
        <f t="shared" si="6"/>
        <v>가스식(mini FK-5-1-12)자동소화장치 	24㎏/19.8L×3BTL</v>
      </c>
    </row>
    <row r="131" spans="1:49" ht="30" customHeight="1" x14ac:dyDescent="0.3">
      <c r="A131" s="17" t="s">
        <v>418</v>
      </c>
      <c r="B131" s="17" t="s">
        <v>419</v>
      </c>
      <c r="C131" s="17" t="s">
        <v>187</v>
      </c>
      <c r="D131" s="41"/>
      <c r="E131" s="16"/>
      <c r="F131" s="16"/>
      <c r="G131" s="16"/>
      <c r="H131" s="16"/>
      <c r="I131" s="16"/>
      <c r="J131" s="16"/>
      <c r="K131" s="16"/>
      <c r="L131" s="16"/>
      <c r="M131" s="17" t="s">
        <v>517</v>
      </c>
      <c r="N131" s="2" t="s">
        <v>518</v>
      </c>
      <c r="O131" s="2" t="s">
        <v>51</v>
      </c>
      <c r="P131" s="2" t="s">
        <v>51</v>
      </c>
      <c r="Q131" s="2" t="s">
        <v>223</v>
      </c>
      <c r="R131" s="2" t="s">
        <v>61</v>
      </c>
      <c r="S131" s="2" t="s">
        <v>61</v>
      </c>
      <c r="T131" s="2" t="s">
        <v>60</v>
      </c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2" t="s">
        <v>51</v>
      </c>
      <c r="AS131" s="2" t="s">
        <v>51</v>
      </c>
      <c r="AT131" s="3"/>
      <c r="AU131" s="2" t="s">
        <v>519</v>
      </c>
      <c r="AV131" s="3">
        <v>107</v>
      </c>
      <c r="AW131" t="str">
        <f t="shared" si="6"/>
        <v>셋트앙카볼트 	3/8×70(9×70)</v>
      </c>
    </row>
    <row r="132" spans="1:49" ht="30" customHeight="1" x14ac:dyDescent="0.3">
      <c r="A132" s="17" t="s">
        <v>457</v>
      </c>
      <c r="B132" s="17" t="s">
        <v>251</v>
      </c>
      <c r="C132" s="17" t="s">
        <v>57</v>
      </c>
      <c r="D132" s="41"/>
      <c r="E132" s="16"/>
      <c r="F132" s="16"/>
      <c r="G132" s="16"/>
      <c r="H132" s="16"/>
      <c r="I132" s="16"/>
      <c r="J132" s="16"/>
      <c r="K132" s="16"/>
      <c r="L132" s="16"/>
      <c r="M132" s="17" t="s">
        <v>520</v>
      </c>
      <c r="N132" s="2" t="s">
        <v>521</v>
      </c>
      <c r="O132" s="2" t="s">
        <v>51</v>
      </c>
      <c r="P132" s="2" t="s">
        <v>51</v>
      </c>
      <c r="Q132" s="2" t="s">
        <v>223</v>
      </c>
      <c r="R132" s="2" t="s">
        <v>61</v>
      </c>
      <c r="S132" s="2" t="s">
        <v>61</v>
      </c>
      <c r="T132" s="2" t="s">
        <v>60</v>
      </c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2" t="s">
        <v>51</v>
      </c>
      <c r="AS132" s="2" t="s">
        <v>51</v>
      </c>
      <c r="AT132" s="3"/>
      <c r="AU132" s="2" t="s">
        <v>522</v>
      </c>
      <c r="AV132" s="3">
        <v>108</v>
      </c>
      <c r="AW132" t="str">
        <f t="shared" si="6"/>
        <v>동관 6A</v>
      </c>
    </row>
    <row r="133" spans="1:49" ht="30" customHeight="1" x14ac:dyDescent="0.3">
      <c r="A133" s="17" t="s">
        <v>523</v>
      </c>
      <c r="B133" s="17" t="s">
        <v>502</v>
      </c>
      <c r="C133" s="17" t="s">
        <v>503</v>
      </c>
      <c r="D133" s="41"/>
      <c r="E133" s="16"/>
      <c r="F133" s="16"/>
      <c r="G133" s="105"/>
      <c r="H133" s="105"/>
      <c r="I133" s="16"/>
      <c r="J133" s="16"/>
      <c r="K133" s="16"/>
      <c r="L133" s="16"/>
      <c r="M133" s="17" t="s">
        <v>524</v>
      </c>
      <c r="N133" s="2" t="s">
        <v>525</v>
      </c>
      <c r="O133" s="2" t="s">
        <v>51</v>
      </c>
      <c r="P133" s="2" t="s">
        <v>51</v>
      </c>
      <c r="Q133" s="2" t="s">
        <v>223</v>
      </c>
      <c r="R133" s="2" t="s">
        <v>61</v>
      </c>
      <c r="S133" s="2" t="s">
        <v>61</v>
      </c>
      <c r="T133" s="2" t="s">
        <v>60</v>
      </c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2" t="s">
        <v>51</v>
      </c>
      <c r="AS133" s="2" t="s">
        <v>51</v>
      </c>
      <c r="AT133" s="3"/>
      <c r="AU133" s="2" t="s">
        <v>526</v>
      </c>
      <c r="AV133" s="3">
        <v>109</v>
      </c>
      <c r="AW133" t="str">
        <f t="shared" si="6"/>
        <v>소공간 소모잡자재비 관의 3%</v>
      </c>
    </row>
    <row r="134" spans="1:49" ht="30" customHeight="1" x14ac:dyDescent="0.3">
      <c r="A134" s="17" t="s">
        <v>527</v>
      </c>
      <c r="B134" s="17" t="s">
        <v>508</v>
      </c>
      <c r="C134" s="17" t="s">
        <v>503</v>
      </c>
      <c r="D134" s="41"/>
      <c r="E134" s="16"/>
      <c r="F134" s="16"/>
      <c r="G134" s="105"/>
      <c r="H134" s="105"/>
      <c r="I134" s="16"/>
      <c r="J134" s="16"/>
      <c r="K134" s="16"/>
      <c r="L134" s="16"/>
      <c r="M134" s="17" t="s">
        <v>528</v>
      </c>
      <c r="N134" s="2" t="s">
        <v>529</v>
      </c>
      <c r="O134" s="2" t="s">
        <v>51</v>
      </c>
      <c r="P134" s="2" t="s">
        <v>51</v>
      </c>
      <c r="Q134" s="2" t="s">
        <v>223</v>
      </c>
      <c r="R134" s="2" t="s">
        <v>61</v>
      </c>
      <c r="S134" s="2" t="s">
        <v>61</v>
      </c>
      <c r="T134" s="2" t="s">
        <v>60</v>
      </c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2" t="s">
        <v>51</v>
      </c>
      <c r="AS134" s="2" t="s">
        <v>51</v>
      </c>
      <c r="AT134" s="3"/>
      <c r="AU134" s="2" t="s">
        <v>530</v>
      </c>
      <c r="AV134" s="3">
        <v>110</v>
      </c>
      <c r="AW134" t="str">
        <f t="shared" ref="AW134:AW166" si="7">CONCATENATE(A134," ",B134)</f>
        <v>소공간 공구손료 노무비의 3%</v>
      </c>
    </row>
    <row r="135" spans="1:49" ht="30" customHeight="1" x14ac:dyDescent="0.3">
      <c r="A135" s="15"/>
      <c r="B135" s="15"/>
      <c r="C135" s="15"/>
      <c r="D135" s="41"/>
      <c r="E135" s="16"/>
      <c r="F135" s="16"/>
      <c r="G135" s="16"/>
      <c r="H135" s="16"/>
      <c r="I135" s="16"/>
      <c r="J135" s="16"/>
      <c r="K135" s="16"/>
      <c r="L135" s="16"/>
      <c r="M135" s="15"/>
      <c r="Q135" s="9" t="s">
        <v>223</v>
      </c>
      <c r="AW135" t="str">
        <f t="shared" si="7"/>
        <v xml:space="preserve"> </v>
      </c>
    </row>
    <row r="136" spans="1:49" ht="30" customHeight="1" x14ac:dyDescent="0.3">
      <c r="A136" s="15"/>
      <c r="B136" s="15"/>
      <c r="C136" s="15"/>
      <c r="D136" s="41"/>
      <c r="E136" s="16"/>
      <c r="F136" s="16"/>
      <c r="G136" s="16"/>
      <c r="H136" s="16"/>
      <c r="I136" s="16"/>
      <c r="J136" s="16"/>
      <c r="K136" s="16"/>
      <c r="L136" s="16"/>
      <c r="M136" s="15"/>
      <c r="Q136" s="9" t="s">
        <v>223</v>
      </c>
      <c r="AW136" t="str">
        <f t="shared" si="7"/>
        <v xml:space="preserve"> </v>
      </c>
    </row>
    <row r="137" spans="1:49" ht="30" customHeight="1" x14ac:dyDescent="0.3">
      <c r="A137" s="15"/>
      <c r="B137" s="15"/>
      <c r="C137" s="15"/>
      <c r="D137" s="41"/>
      <c r="E137" s="16"/>
      <c r="F137" s="16"/>
      <c r="G137" s="16"/>
      <c r="H137" s="16"/>
      <c r="I137" s="16"/>
      <c r="J137" s="16"/>
      <c r="K137" s="16"/>
      <c r="L137" s="16"/>
      <c r="M137" s="15"/>
      <c r="Q137" s="9" t="s">
        <v>223</v>
      </c>
      <c r="AW137" t="str">
        <f t="shared" si="7"/>
        <v xml:space="preserve"> </v>
      </c>
    </row>
    <row r="138" spans="1:49" ht="30" customHeight="1" x14ac:dyDescent="0.3">
      <c r="A138" s="15"/>
      <c r="B138" s="15"/>
      <c r="C138" s="15"/>
      <c r="D138" s="41"/>
      <c r="E138" s="16"/>
      <c r="F138" s="16"/>
      <c r="G138" s="16"/>
      <c r="H138" s="16"/>
      <c r="I138" s="16"/>
      <c r="J138" s="16"/>
      <c r="K138" s="16"/>
      <c r="L138" s="16"/>
      <c r="M138" s="15"/>
      <c r="Q138" s="9" t="s">
        <v>223</v>
      </c>
      <c r="AW138" t="str">
        <f t="shared" si="7"/>
        <v xml:space="preserve"> </v>
      </c>
    </row>
    <row r="139" spans="1:49" ht="30" customHeight="1" x14ac:dyDescent="0.3">
      <c r="A139" s="15"/>
      <c r="B139" s="15"/>
      <c r="C139" s="15"/>
      <c r="D139" s="41"/>
      <c r="E139" s="16"/>
      <c r="F139" s="16"/>
      <c r="G139" s="16"/>
      <c r="H139" s="16"/>
      <c r="I139" s="16"/>
      <c r="J139" s="16"/>
      <c r="K139" s="16"/>
      <c r="L139" s="16"/>
      <c r="M139" s="15"/>
      <c r="Q139" s="9" t="s">
        <v>223</v>
      </c>
      <c r="AW139" t="str">
        <f t="shared" si="7"/>
        <v xml:space="preserve"> </v>
      </c>
    </row>
    <row r="140" spans="1:49" ht="30" customHeight="1" x14ac:dyDescent="0.3">
      <c r="A140" s="17" t="s">
        <v>220</v>
      </c>
      <c r="B140" s="15"/>
      <c r="C140" s="15"/>
      <c r="D140" s="41"/>
      <c r="E140" s="16"/>
      <c r="F140" s="16">
        <f>SUMIF(Q64:Q139,"0102",F64:F139)</f>
        <v>0</v>
      </c>
      <c r="G140" s="16"/>
      <c r="H140" s="16">
        <f>SUMIF(Q64:Q139,"0102",H64:H139)</f>
        <v>0</v>
      </c>
      <c r="I140" s="16"/>
      <c r="J140" s="16">
        <f>SUMIF(Q64:Q139,"0102",J64:J139)</f>
        <v>0</v>
      </c>
      <c r="K140" s="16"/>
      <c r="L140" s="16">
        <f>SUMIF(Q64:Q139,"0102",L64:L139)</f>
        <v>0</v>
      </c>
      <c r="M140" s="15"/>
      <c r="N140" t="s">
        <v>221</v>
      </c>
      <c r="AW140" t="str">
        <f t="shared" si="7"/>
        <v xml:space="preserve">[ 합           계 ] </v>
      </c>
    </row>
    <row r="141" spans="1:49" ht="30" hidden="1" customHeight="1" x14ac:dyDescent="0.3">
      <c r="A141" s="17" t="s">
        <v>531</v>
      </c>
      <c r="B141" s="17" t="s">
        <v>51</v>
      </c>
      <c r="C141" s="15"/>
      <c r="D141" s="41"/>
      <c r="E141" s="16"/>
      <c r="F141" s="16"/>
      <c r="G141" s="16"/>
      <c r="H141" s="16"/>
      <c r="I141" s="16"/>
      <c r="J141" s="16"/>
      <c r="K141" s="16"/>
      <c r="L141" s="16"/>
      <c r="M141" s="15"/>
      <c r="N141" s="3"/>
      <c r="O141" s="3"/>
      <c r="P141" s="3"/>
      <c r="Q141" s="2" t="s">
        <v>532</v>
      </c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t="str">
        <f t="shared" si="7"/>
        <v xml:space="preserve">0103  철거공사 </v>
      </c>
    </row>
    <row r="142" spans="1:49" ht="30" hidden="1" customHeight="1" x14ac:dyDescent="0.3">
      <c r="A142" s="17" t="s">
        <v>533</v>
      </c>
      <c r="B142" s="17" t="s">
        <v>534</v>
      </c>
      <c r="C142" s="17" t="s">
        <v>535</v>
      </c>
      <c r="D142" s="41">
        <v>37</v>
      </c>
      <c r="E142" s="16">
        <f>TRUNC(단가대비표!O132,0)</f>
        <v>0</v>
      </c>
      <c r="F142" s="16">
        <f t="shared" ref="F142:F151" si="8">TRUNC(E142*D142, 0)</f>
        <v>0</v>
      </c>
      <c r="G142" s="16">
        <f>TRUNC(단가대비표!P132,0)</f>
        <v>77212</v>
      </c>
      <c r="H142" s="16">
        <f t="shared" ref="H142:H151" si="9">TRUNC(G142*D142, 0)</f>
        <v>2856844</v>
      </c>
      <c r="I142" s="16">
        <f>TRUNC(단가대비표!V132,0)</f>
        <v>0</v>
      </c>
      <c r="J142" s="16">
        <f t="shared" ref="J142:J151" si="10">TRUNC(I142*D142, 0)</f>
        <v>0</v>
      </c>
      <c r="K142" s="16">
        <f t="shared" ref="K142:L151" si="11">TRUNC(E142+G142+I142, 0)</f>
        <v>77212</v>
      </c>
      <c r="L142" s="16">
        <f t="shared" si="11"/>
        <v>2856844</v>
      </c>
      <c r="M142" s="17" t="s">
        <v>536</v>
      </c>
      <c r="N142" s="2" t="s">
        <v>537</v>
      </c>
      <c r="O142" s="2" t="s">
        <v>51</v>
      </c>
      <c r="P142" s="2" t="s">
        <v>51</v>
      </c>
      <c r="Q142" s="2" t="s">
        <v>532</v>
      </c>
      <c r="R142" s="2" t="s">
        <v>61</v>
      </c>
      <c r="S142" s="2" t="s">
        <v>61</v>
      </c>
      <c r="T142" s="2" t="s">
        <v>60</v>
      </c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2" t="s">
        <v>51</v>
      </c>
      <c r="AS142" s="2" t="s">
        <v>51</v>
      </c>
      <c r="AT142" s="3"/>
      <c r="AU142" s="2" t="s">
        <v>538</v>
      </c>
      <c r="AV142" s="3">
        <v>112</v>
      </c>
      <c r="AW142" t="str">
        <f t="shared" si="7"/>
        <v>CO2실린더 철거 68L/45KG</v>
      </c>
    </row>
    <row r="143" spans="1:49" ht="30" hidden="1" customHeight="1" x14ac:dyDescent="0.3">
      <c r="A143" s="17" t="s">
        <v>539</v>
      </c>
      <c r="B143" s="17" t="s">
        <v>540</v>
      </c>
      <c r="C143" s="17" t="s">
        <v>93</v>
      </c>
      <c r="D143" s="41">
        <v>2</v>
      </c>
      <c r="E143" s="16">
        <f>TRUNC(단가대비표!O133,0)</f>
        <v>0</v>
      </c>
      <c r="F143" s="16">
        <f t="shared" si="8"/>
        <v>0</v>
      </c>
      <c r="G143" s="16">
        <f>TRUNC(단가대비표!P133,0)</f>
        <v>154425</v>
      </c>
      <c r="H143" s="16">
        <f t="shared" si="9"/>
        <v>308850</v>
      </c>
      <c r="I143" s="16">
        <f>TRUNC(단가대비표!V133,0)</f>
        <v>0</v>
      </c>
      <c r="J143" s="16">
        <f t="shared" si="10"/>
        <v>0</v>
      </c>
      <c r="K143" s="16">
        <f t="shared" si="11"/>
        <v>154425</v>
      </c>
      <c r="L143" s="16">
        <f t="shared" si="11"/>
        <v>308850</v>
      </c>
      <c r="M143" s="17" t="s">
        <v>541</v>
      </c>
      <c r="N143" s="2" t="s">
        <v>542</v>
      </c>
      <c r="O143" s="2" t="s">
        <v>51</v>
      </c>
      <c r="P143" s="2" t="s">
        <v>51</v>
      </c>
      <c r="Q143" s="2" t="s">
        <v>532</v>
      </c>
      <c r="R143" s="2" t="s">
        <v>61</v>
      </c>
      <c r="S143" s="2" t="s">
        <v>61</v>
      </c>
      <c r="T143" s="2" t="s">
        <v>60</v>
      </c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2" t="s">
        <v>51</v>
      </c>
      <c r="AS143" s="2" t="s">
        <v>51</v>
      </c>
      <c r="AT143" s="3"/>
      <c r="AU143" s="2" t="s">
        <v>543</v>
      </c>
      <c r="AV143" s="3">
        <v>113</v>
      </c>
      <c r="AW143" t="str">
        <f t="shared" si="7"/>
        <v>선택밸브 철거 80A</v>
      </c>
    </row>
    <row r="144" spans="1:49" ht="30" hidden="1" customHeight="1" x14ac:dyDescent="0.3">
      <c r="A144" s="17" t="s">
        <v>544</v>
      </c>
      <c r="B144" s="17" t="s">
        <v>545</v>
      </c>
      <c r="C144" s="17" t="s">
        <v>93</v>
      </c>
      <c r="D144" s="41">
        <v>5</v>
      </c>
      <c r="E144" s="16">
        <f>TRUNC(단가대비표!O134,0)</f>
        <v>0</v>
      </c>
      <c r="F144" s="16">
        <f t="shared" si="8"/>
        <v>0</v>
      </c>
      <c r="G144" s="16">
        <f>TRUNC(단가대비표!P134,0)</f>
        <v>77212</v>
      </c>
      <c r="H144" s="16">
        <f t="shared" si="9"/>
        <v>386060</v>
      </c>
      <c r="I144" s="16">
        <f>TRUNC(단가대비표!V134,0)</f>
        <v>0</v>
      </c>
      <c r="J144" s="16">
        <f t="shared" si="10"/>
        <v>0</v>
      </c>
      <c r="K144" s="16">
        <f t="shared" si="11"/>
        <v>77212</v>
      </c>
      <c r="L144" s="16">
        <f t="shared" si="11"/>
        <v>386060</v>
      </c>
      <c r="M144" s="17" t="s">
        <v>546</v>
      </c>
      <c r="N144" s="2" t="s">
        <v>547</v>
      </c>
      <c r="O144" s="2" t="s">
        <v>51</v>
      </c>
      <c r="P144" s="2" t="s">
        <v>51</v>
      </c>
      <c r="Q144" s="2" t="s">
        <v>532</v>
      </c>
      <c r="R144" s="2" t="s">
        <v>61</v>
      </c>
      <c r="S144" s="2" t="s">
        <v>61</v>
      </c>
      <c r="T144" s="2" t="s">
        <v>60</v>
      </c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2" t="s">
        <v>51</v>
      </c>
      <c r="AS144" s="2" t="s">
        <v>51</v>
      </c>
      <c r="AT144" s="3"/>
      <c r="AU144" s="2" t="s">
        <v>548</v>
      </c>
      <c r="AV144" s="3">
        <v>114</v>
      </c>
      <c r="AW144" t="str">
        <f t="shared" si="7"/>
        <v>기동용기함 철거 0</v>
      </c>
    </row>
    <row r="145" spans="1:49" ht="30" hidden="1" customHeight="1" x14ac:dyDescent="0.3">
      <c r="A145" s="17" t="s">
        <v>549</v>
      </c>
      <c r="B145" s="17" t="s">
        <v>540</v>
      </c>
      <c r="C145" s="17" t="s">
        <v>74</v>
      </c>
      <c r="D145" s="41">
        <v>32</v>
      </c>
      <c r="E145" s="16">
        <f>TRUNC(단가대비표!O135,0)</f>
        <v>0</v>
      </c>
      <c r="F145" s="16">
        <f t="shared" si="8"/>
        <v>0</v>
      </c>
      <c r="G145" s="16">
        <f>TRUNC(단가대비표!P135,0)</f>
        <v>24332</v>
      </c>
      <c r="H145" s="16">
        <f t="shared" si="9"/>
        <v>778624</v>
      </c>
      <c r="I145" s="16">
        <f>TRUNC(단가대비표!V135,0)</f>
        <v>0</v>
      </c>
      <c r="J145" s="16">
        <f t="shared" si="10"/>
        <v>0</v>
      </c>
      <c r="K145" s="16">
        <f t="shared" si="11"/>
        <v>24332</v>
      </c>
      <c r="L145" s="16">
        <f t="shared" si="11"/>
        <v>778624</v>
      </c>
      <c r="M145" s="17" t="s">
        <v>550</v>
      </c>
      <c r="N145" s="2" t="s">
        <v>551</v>
      </c>
      <c r="O145" s="2" t="s">
        <v>51</v>
      </c>
      <c r="P145" s="2" t="s">
        <v>51</v>
      </c>
      <c r="Q145" s="2" t="s">
        <v>532</v>
      </c>
      <c r="R145" s="2" t="s">
        <v>61</v>
      </c>
      <c r="S145" s="2" t="s">
        <v>61</v>
      </c>
      <c r="T145" s="2" t="s">
        <v>60</v>
      </c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2" t="s">
        <v>51</v>
      </c>
      <c r="AS145" s="2" t="s">
        <v>51</v>
      </c>
      <c r="AT145" s="3"/>
      <c r="AU145" s="2" t="s">
        <v>552</v>
      </c>
      <c r="AV145" s="3">
        <v>115</v>
      </c>
      <c r="AW145" t="str">
        <f t="shared" si="7"/>
        <v>SCH80 PIPE 철거 80A</v>
      </c>
    </row>
    <row r="146" spans="1:49" ht="30" hidden="1" customHeight="1" x14ac:dyDescent="0.3">
      <c r="A146" s="17" t="s">
        <v>549</v>
      </c>
      <c r="B146" s="17" t="s">
        <v>315</v>
      </c>
      <c r="C146" s="17" t="s">
        <v>74</v>
      </c>
      <c r="D146" s="41">
        <v>36</v>
      </c>
      <c r="E146" s="16">
        <f>TRUNC(단가대비표!O136,0)</f>
        <v>0</v>
      </c>
      <c r="F146" s="16">
        <f t="shared" si="8"/>
        <v>0</v>
      </c>
      <c r="G146" s="16">
        <f>TRUNC(단가대비표!P136,0)</f>
        <v>19210</v>
      </c>
      <c r="H146" s="16">
        <f t="shared" si="9"/>
        <v>691560</v>
      </c>
      <c r="I146" s="16">
        <f>TRUNC(단가대비표!V136,0)</f>
        <v>0</v>
      </c>
      <c r="J146" s="16">
        <f t="shared" si="10"/>
        <v>0</v>
      </c>
      <c r="K146" s="16">
        <f t="shared" si="11"/>
        <v>19210</v>
      </c>
      <c r="L146" s="16">
        <f t="shared" si="11"/>
        <v>691560</v>
      </c>
      <c r="M146" s="17" t="s">
        <v>553</v>
      </c>
      <c r="N146" s="2" t="s">
        <v>554</v>
      </c>
      <c r="O146" s="2" t="s">
        <v>51</v>
      </c>
      <c r="P146" s="2" t="s">
        <v>51</v>
      </c>
      <c r="Q146" s="2" t="s">
        <v>532</v>
      </c>
      <c r="R146" s="2" t="s">
        <v>61</v>
      </c>
      <c r="S146" s="2" t="s">
        <v>61</v>
      </c>
      <c r="T146" s="2" t="s">
        <v>60</v>
      </c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2" t="s">
        <v>51</v>
      </c>
      <c r="AS146" s="2" t="s">
        <v>51</v>
      </c>
      <c r="AT146" s="3"/>
      <c r="AU146" s="2" t="s">
        <v>555</v>
      </c>
      <c r="AV146" s="3">
        <v>116</v>
      </c>
      <c r="AW146" t="str">
        <f t="shared" si="7"/>
        <v>SCH80 PIPE 철거 65A</v>
      </c>
    </row>
    <row r="147" spans="1:49" ht="30" hidden="1" customHeight="1" x14ac:dyDescent="0.3">
      <c r="A147" s="17" t="s">
        <v>549</v>
      </c>
      <c r="B147" s="17" t="s">
        <v>273</v>
      </c>
      <c r="C147" s="17" t="s">
        <v>74</v>
      </c>
      <c r="D147" s="41">
        <v>22</v>
      </c>
      <c r="E147" s="16">
        <f>TRUNC(단가대비표!O137,0)</f>
        <v>0</v>
      </c>
      <c r="F147" s="16">
        <f t="shared" si="8"/>
        <v>0</v>
      </c>
      <c r="G147" s="16">
        <f>TRUNC(단가대비표!P137,0)</f>
        <v>12877</v>
      </c>
      <c r="H147" s="16">
        <f t="shared" si="9"/>
        <v>283294</v>
      </c>
      <c r="I147" s="16">
        <f>TRUNC(단가대비표!V137,0)</f>
        <v>0</v>
      </c>
      <c r="J147" s="16">
        <f t="shared" si="10"/>
        <v>0</v>
      </c>
      <c r="K147" s="16">
        <f t="shared" si="11"/>
        <v>12877</v>
      </c>
      <c r="L147" s="16">
        <f t="shared" si="11"/>
        <v>283294</v>
      </c>
      <c r="M147" s="17" t="s">
        <v>556</v>
      </c>
      <c r="N147" s="2" t="s">
        <v>557</v>
      </c>
      <c r="O147" s="2" t="s">
        <v>51</v>
      </c>
      <c r="P147" s="2" t="s">
        <v>51</v>
      </c>
      <c r="Q147" s="2" t="s">
        <v>532</v>
      </c>
      <c r="R147" s="2" t="s">
        <v>61</v>
      </c>
      <c r="S147" s="2" t="s">
        <v>61</v>
      </c>
      <c r="T147" s="2" t="s">
        <v>60</v>
      </c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2" t="s">
        <v>51</v>
      </c>
      <c r="AS147" s="2" t="s">
        <v>51</v>
      </c>
      <c r="AT147" s="3"/>
      <c r="AU147" s="2" t="s">
        <v>558</v>
      </c>
      <c r="AV147" s="3">
        <v>117</v>
      </c>
      <c r="AW147" t="str">
        <f t="shared" si="7"/>
        <v>SCH80 PIPE 철거 40A</v>
      </c>
    </row>
    <row r="148" spans="1:49" ht="30" hidden="1" customHeight="1" x14ac:dyDescent="0.3">
      <c r="A148" s="17" t="s">
        <v>549</v>
      </c>
      <c r="B148" s="17" t="s">
        <v>559</v>
      </c>
      <c r="C148" s="17" t="s">
        <v>74</v>
      </c>
      <c r="D148" s="41">
        <v>11</v>
      </c>
      <c r="E148" s="16">
        <f>TRUNC(단가대비표!O138,0)</f>
        <v>0</v>
      </c>
      <c r="F148" s="16">
        <f t="shared" si="8"/>
        <v>0</v>
      </c>
      <c r="G148" s="16">
        <f>TRUNC(단가대비표!P138,0)</f>
        <v>11665</v>
      </c>
      <c r="H148" s="16">
        <f t="shared" si="9"/>
        <v>128315</v>
      </c>
      <c r="I148" s="16">
        <f>TRUNC(단가대비표!V138,0)</f>
        <v>0</v>
      </c>
      <c r="J148" s="16">
        <f t="shared" si="10"/>
        <v>0</v>
      </c>
      <c r="K148" s="16">
        <f t="shared" si="11"/>
        <v>11665</v>
      </c>
      <c r="L148" s="16">
        <f t="shared" si="11"/>
        <v>128315</v>
      </c>
      <c r="M148" s="17" t="s">
        <v>560</v>
      </c>
      <c r="N148" s="2" t="s">
        <v>561</v>
      </c>
      <c r="O148" s="2" t="s">
        <v>51</v>
      </c>
      <c r="P148" s="2" t="s">
        <v>51</v>
      </c>
      <c r="Q148" s="2" t="s">
        <v>532</v>
      </c>
      <c r="R148" s="2" t="s">
        <v>61</v>
      </c>
      <c r="S148" s="2" t="s">
        <v>61</v>
      </c>
      <c r="T148" s="2" t="s">
        <v>60</v>
      </c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2" t="s">
        <v>51</v>
      </c>
      <c r="AS148" s="2" t="s">
        <v>51</v>
      </c>
      <c r="AT148" s="3"/>
      <c r="AU148" s="2" t="s">
        <v>562</v>
      </c>
      <c r="AV148" s="3">
        <v>118</v>
      </c>
      <c r="AW148" t="str">
        <f t="shared" si="7"/>
        <v>SCH80 PIPE 철거 32A</v>
      </c>
    </row>
    <row r="149" spans="1:49" ht="30" hidden="1" customHeight="1" x14ac:dyDescent="0.3">
      <c r="A149" s="17" t="s">
        <v>549</v>
      </c>
      <c r="B149" s="17" t="s">
        <v>563</v>
      </c>
      <c r="C149" s="17" t="s">
        <v>74</v>
      </c>
      <c r="D149" s="41">
        <v>20</v>
      </c>
      <c r="E149" s="16">
        <f>TRUNC(단가대비표!O139,0)</f>
        <v>0</v>
      </c>
      <c r="F149" s="16">
        <f t="shared" si="8"/>
        <v>0</v>
      </c>
      <c r="G149" s="16">
        <f>TRUNC(단가대비표!P139,0)</f>
        <v>10013</v>
      </c>
      <c r="H149" s="16">
        <f t="shared" si="9"/>
        <v>200260</v>
      </c>
      <c r="I149" s="16">
        <f>TRUNC(단가대비표!V139,0)</f>
        <v>0</v>
      </c>
      <c r="J149" s="16">
        <f t="shared" si="10"/>
        <v>0</v>
      </c>
      <c r="K149" s="16">
        <f t="shared" si="11"/>
        <v>10013</v>
      </c>
      <c r="L149" s="16">
        <f t="shared" si="11"/>
        <v>200260</v>
      </c>
      <c r="M149" s="17" t="s">
        <v>564</v>
      </c>
      <c r="N149" s="2" t="s">
        <v>565</v>
      </c>
      <c r="O149" s="2" t="s">
        <v>51</v>
      </c>
      <c r="P149" s="2" t="s">
        <v>51</v>
      </c>
      <c r="Q149" s="2" t="s">
        <v>532</v>
      </c>
      <c r="R149" s="2" t="s">
        <v>61</v>
      </c>
      <c r="S149" s="2" t="s">
        <v>61</v>
      </c>
      <c r="T149" s="2" t="s">
        <v>60</v>
      </c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2" t="s">
        <v>51</v>
      </c>
      <c r="AS149" s="2" t="s">
        <v>51</v>
      </c>
      <c r="AT149" s="3"/>
      <c r="AU149" s="2" t="s">
        <v>566</v>
      </c>
      <c r="AV149" s="3">
        <v>119</v>
      </c>
      <c r="AW149" t="str">
        <f t="shared" si="7"/>
        <v>SCH80 PIPE 철거 25A</v>
      </c>
    </row>
    <row r="150" spans="1:49" ht="30" hidden="1" customHeight="1" x14ac:dyDescent="0.3">
      <c r="A150" s="17" t="s">
        <v>567</v>
      </c>
      <c r="B150" s="17" t="s">
        <v>563</v>
      </c>
      <c r="C150" s="17" t="s">
        <v>187</v>
      </c>
      <c r="D150" s="41">
        <v>11</v>
      </c>
      <c r="E150" s="16">
        <f>TRUNC(단가대비표!O140,0)</f>
        <v>0</v>
      </c>
      <c r="F150" s="16">
        <f t="shared" si="8"/>
        <v>0</v>
      </c>
      <c r="G150" s="16">
        <f>TRUNC(단가대비표!P140,0)</f>
        <v>26152</v>
      </c>
      <c r="H150" s="16">
        <f t="shared" si="9"/>
        <v>287672</v>
      </c>
      <c r="I150" s="16">
        <f>TRUNC(단가대비표!V140,0)</f>
        <v>0</v>
      </c>
      <c r="J150" s="16">
        <f t="shared" si="10"/>
        <v>0</v>
      </c>
      <c r="K150" s="16">
        <f t="shared" si="11"/>
        <v>26152</v>
      </c>
      <c r="L150" s="16">
        <f t="shared" si="11"/>
        <v>287672</v>
      </c>
      <c r="M150" s="17" t="s">
        <v>568</v>
      </c>
      <c r="N150" s="2" t="s">
        <v>569</v>
      </c>
      <c r="O150" s="2" t="s">
        <v>51</v>
      </c>
      <c r="P150" s="2" t="s">
        <v>51</v>
      </c>
      <c r="Q150" s="2" t="s">
        <v>532</v>
      </c>
      <c r="R150" s="2" t="s">
        <v>61</v>
      </c>
      <c r="S150" s="2" t="s">
        <v>61</v>
      </c>
      <c r="T150" s="2" t="s">
        <v>60</v>
      </c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2" t="s">
        <v>51</v>
      </c>
      <c r="AS150" s="2" t="s">
        <v>51</v>
      </c>
      <c r="AT150" s="3"/>
      <c r="AU150" s="2" t="s">
        <v>570</v>
      </c>
      <c r="AV150" s="3">
        <v>120</v>
      </c>
      <c r="AW150" t="str">
        <f t="shared" si="7"/>
        <v>CO2 노즐 철거 25A</v>
      </c>
    </row>
    <row r="151" spans="1:49" ht="30" hidden="1" customHeight="1" x14ac:dyDescent="0.3">
      <c r="A151" s="17" t="s">
        <v>571</v>
      </c>
      <c r="B151" s="17" t="s">
        <v>508</v>
      </c>
      <c r="C151" s="17" t="s">
        <v>503</v>
      </c>
      <c r="D151" s="41">
        <v>1</v>
      </c>
      <c r="E151" s="16">
        <f>TRUNC(단가대비표!O141,0)</f>
        <v>177644</v>
      </c>
      <c r="F151" s="16">
        <f t="shared" si="8"/>
        <v>177644</v>
      </c>
      <c r="G151" s="16">
        <f>TRUNC(단가대비표!P141,0)</f>
        <v>0</v>
      </c>
      <c r="H151" s="16">
        <f t="shared" si="9"/>
        <v>0</v>
      </c>
      <c r="I151" s="16">
        <f>TRUNC(단가대비표!V141,0)</f>
        <v>0</v>
      </c>
      <c r="J151" s="16">
        <f t="shared" si="10"/>
        <v>0</v>
      </c>
      <c r="K151" s="16">
        <f t="shared" si="11"/>
        <v>177644</v>
      </c>
      <c r="L151" s="16">
        <f t="shared" si="11"/>
        <v>177644</v>
      </c>
      <c r="M151" s="17" t="s">
        <v>572</v>
      </c>
      <c r="N151" s="2" t="s">
        <v>573</v>
      </c>
      <c r="O151" s="2" t="s">
        <v>51</v>
      </c>
      <c r="P151" s="2" t="s">
        <v>51</v>
      </c>
      <c r="Q151" s="2" t="s">
        <v>532</v>
      </c>
      <c r="R151" s="2" t="s">
        <v>61</v>
      </c>
      <c r="S151" s="2" t="s">
        <v>61</v>
      </c>
      <c r="T151" s="2" t="s">
        <v>60</v>
      </c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2" t="s">
        <v>51</v>
      </c>
      <c r="AS151" s="2" t="s">
        <v>51</v>
      </c>
      <c r="AT151" s="3"/>
      <c r="AU151" s="2" t="s">
        <v>574</v>
      </c>
      <c r="AV151" s="3">
        <v>121</v>
      </c>
      <c r="AW151" t="str">
        <f t="shared" si="7"/>
        <v>철거 공구손료 노무비의 3%</v>
      </c>
    </row>
    <row r="152" spans="1:49" ht="30" hidden="1" customHeight="1" x14ac:dyDescent="0.3">
      <c r="A152" s="15"/>
      <c r="B152" s="15"/>
      <c r="C152" s="15"/>
      <c r="D152" s="41"/>
      <c r="E152" s="16"/>
      <c r="F152" s="16"/>
      <c r="G152" s="16"/>
      <c r="H152" s="16"/>
      <c r="I152" s="16"/>
      <c r="J152" s="16"/>
      <c r="K152" s="16"/>
      <c r="L152" s="16"/>
      <c r="M152" s="15"/>
      <c r="Q152" s="9" t="s">
        <v>532</v>
      </c>
      <c r="AW152" t="str">
        <f t="shared" si="7"/>
        <v xml:space="preserve"> </v>
      </c>
    </row>
    <row r="153" spans="1:49" ht="30" hidden="1" customHeight="1" x14ac:dyDescent="0.3">
      <c r="A153" s="15"/>
      <c r="B153" s="15"/>
      <c r="C153" s="15"/>
      <c r="D153" s="41"/>
      <c r="E153" s="16"/>
      <c r="F153" s="16"/>
      <c r="G153" s="16"/>
      <c r="H153" s="16"/>
      <c r="I153" s="16"/>
      <c r="J153" s="16"/>
      <c r="K153" s="16"/>
      <c r="L153" s="16"/>
      <c r="M153" s="15"/>
      <c r="Q153" s="9" t="s">
        <v>532</v>
      </c>
      <c r="AW153" t="str">
        <f t="shared" si="7"/>
        <v xml:space="preserve"> </v>
      </c>
    </row>
    <row r="154" spans="1:49" ht="30" hidden="1" customHeight="1" x14ac:dyDescent="0.3">
      <c r="A154" s="15"/>
      <c r="B154" s="15"/>
      <c r="C154" s="15"/>
      <c r="D154" s="41"/>
      <c r="E154" s="16"/>
      <c r="F154" s="16"/>
      <c r="G154" s="16"/>
      <c r="H154" s="16"/>
      <c r="I154" s="16"/>
      <c r="J154" s="16"/>
      <c r="K154" s="16"/>
      <c r="L154" s="16"/>
      <c r="M154" s="15"/>
      <c r="Q154" s="9" t="s">
        <v>532</v>
      </c>
      <c r="AW154" t="str">
        <f t="shared" si="7"/>
        <v xml:space="preserve"> </v>
      </c>
    </row>
    <row r="155" spans="1:49" ht="30" hidden="1" customHeight="1" x14ac:dyDescent="0.3">
      <c r="A155" s="15"/>
      <c r="B155" s="15"/>
      <c r="C155" s="15"/>
      <c r="D155" s="41"/>
      <c r="E155" s="16"/>
      <c r="F155" s="16"/>
      <c r="G155" s="16"/>
      <c r="H155" s="16"/>
      <c r="I155" s="16"/>
      <c r="J155" s="16"/>
      <c r="K155" s="16"/>
      <c r="L155" s="16"/>
      <c r="M155" s="15"/>
      <c r="Q155" s="9" t="s">
        <v>532</v>
      </c>
      <c r="AW155" t="str">
        <f t="shared" si="7"/>
        <v xml:space="preserve"> </v>
      </c>
    </row>
    <row r="156" spans="1:49" ht="30" hidden="1" customHeight="1" x14ac:dyDescent="0.3">
      <c r="A156" s="15"/>
      <c r="B156" s="15"/>
      <c r="C156" s="15"/>
      <c r="D156" s="41"/>
      <c r="E156" s="16"/>
      <c r="F156" s="16"/>
      <c r="G156" s="16"/>
      <c r="H156" s="16"/>
      <c r="I156" s="16"/>
      <c r="J156" s="16"/>
      <c r="K156" s="16"/>
      <c r="L156" s="16"/>
      <c r="M156" s="15"/>
      <c r="Q156" s="9" t="s">
        <v>532</v>
      </c>
      <c r="AW156" t="str">
        <f t="shared" si="7"/>
        <v xml:space="preserve"> </v>
      </c>
    </row>
    <row r="157" spans="1:49" ht="30" hidden="1" customHeight="1" x14ac:dyDescent="0.3">
      <c r="A157" s="15"/>
      <c r="B157" s="15"/>
      <c r="C157" s="15"/>
      <c r="D157" s="41"/>
      <c r="E157" s="16"/>
      <c r="F157" s="16"/>
      <c r="G157" s="16"/>
      <c r="H157" s="16"/>
      <c r="I157" s="16"/>
      <c r="J157" s="16"/>
      <c r="K157" s="16"/>
      <c r="L157" s="16"/>
      <c r="M157" s="15"/>
      <c r="Q157" s="9" t="s">
        <v>532</v>
      </c>
      <c r="AW157" t="str">
        <f t="shared" si="7"/>
        <v xml:space="preserve"> </v>
      </c>
    </row>
    <row r="158" spans="1:49" ht="30" hidden="1" customHeight="1" x14ac:dyDescent="0.3">
      <c r="A158" s="15"/>
      <c r="B158" s="15"/>
      <c r="C158" s="15"/>
      <c r="D158" s="41"/>
      <c r="E158" s="16"/>
      <c r="F158" s="16"/>
      <c r="G158" s="16"/>
      <c r="H158" s="16"/>
      <c r="I158" s="16"/>
      <c r="J158" s="16"/>
      <c r="K158" s="16"/>
      <c r="L158" s="16"/>
      <c r="M158" s="15"/>
      <c r="Q158" s="9" t="s">
        <v>532</v>
      </c>
      <c r="AW158" t="str">
        <f t="shared" si="7"/>
        <v xml:space="preserve"> </v>
      </c>
    </row>
    <row r="159" spans="1:49" ht="30" hidden="1" customHeight="1" x14ac:dyDescent="0.3">
      <c r="A159" s="15"/>
      <c r="B159" s="15"/>
      <c r="C159" s="15"/>
      <c r="D159" s="41"/>
      <c r="E159" s="16"/>
      <c r="F159" s="16"/>
      <c r="G159" s="16"/>
      <c r="H159" s="16"/>
      <c r="I159" s="16"/>
      <c r="J159" s="16"/>
      <c r="K159" s="16"/>
      <c r="L159" s="16"/>
      <c r="M159" s="15"/>
      <c r="Q159" s="9" t="s">
        <v>532</v>
      </c>
      <c r="AW159" t="str">
        <f t="shared" si="7"/>
        <v xml:space="preserve"> </v>
      </c>
    </row>
    <row r="160" spans="1:49" ht="30" hidden="1" customHeight="1" x14ac:dyDescent="0.3">
      <c r="A160" s="15"/>
      <c r="B160" s="15"/>
      <c r="C160" s="15"/>
      <c r="D160" s="41"/>
      <c r="E160" s="16"/>
      <c r="F160" s="16"/>
      <c r="G160" s="16"/>
      <c r="H160" s="16"/>
      <c r="I160" s="16"/>
      <c r="J160" s="16"/>
      <c r="K160" s="16"/>
      <c r="L160" s="16"/>
      <c r="M160" s="15"/>
      <c r="Q160" s="9" t="s">
        <v>532</v>
      </c>
      <c r="AW160" t="str">
        <f t="shared" si="7"/>
        <v xml:space="preserve"> </v>
      </c>
    </row>
    <row r="161" spans="1:49" ht="30" hidden="1" customHeight="1" x14ac:dyDescent="0.3">
      <c r="A161" s="15"/>
      <c r="B161" s="15"/>
      <c r="C161" s="15"/>
      <c r="D161" s="41"/>
      <c r="E161" s="16"/>
      <c r="F161" s="16"/>
      <c r="G161" s="16"/>
      <c r="H161" s="16"/>
      <c r="I161" s="16"/>
      <c r="J161" s="16"/>
      <c r="K161" s="16"/>
      <c r="L161" s="16"/>
      <c r="M161" s="15"/>
      <c r="Q161" s="9" t="s">
        <v>532</v>
      </c>
      <c r="AW161" t="str">
        <f t="shared" si="7"/>
        <v xml:space="preserve"> </v>
      </c>
    </row>
    <row r="162" spans="1:49" ht="30" hidden="1" customHeight="1" x14ac:dyDescent="0.3">
      <c r="A162" s="15"/>
      <c r="B162" s="15"/>
      <c r="C162" s="15"/>
      <c r="D162" s="41"/>
      <c r="E162" s="16"/>
      <c r="F162" s="16"/>
      <c r="G162" s="16"/>
      <c r="H162" s="16"/>
      <c r="I162" s="16"/>
      <c r="J162" s="16"/>
      <c r="K162" s="16"/>
      <c r="L162" s="16"/>
      <c r="M162" s="15"/>
      <c r="Q162" s="9" t="s">
        <v>532</v>
      </c>
      <c r="AW162" t="str">
        <f t="shared" si="7"/>
        <v xml:space="preserve"> </v>
      </c>
    </row>
    <row r="163" spans="1:49" ht="30" hidden="1" customHeight="1" x14ac:dyDescent="0.3">
      <c r="A163" s="15"/>
      <c r="B163" s="15"/>
      <c r="C163" s="15"/>
      <c r="D163" s="41"/>
      <c r="E163" s="16"/>
      <c r="F163" s="16"/>
      <c r="G163" s="16"/>
      <c r="H163" s="16"/>
      <c r="I163" s="16"/>
      <c r="J163" s="16"/>
      <c r="K163" s="16"/>
      <c r="L163" s="16"/>
      <c r="M163" s="15"/>
      <c r="Q163" s="9" t="s">
        <v>532</v>
      </c>
      <c r="AW163" t="str">
        <f t="shared" si="7"/>
        <v xml:space="preserve"> </v>
      </c>
    </row>
    <row r="164" spans="1:49" ht="30" hidden="1" customHeight="1" x14ac:dyDescent="0.3">
      <c r="A164" s="15"/>
      <c r="B164" s="15"/>
      <c r="C164" s="15"/>
      <c r="D164" s="41"/>
      <c r="E164" s="16"/>
      <c r="F164" s="16"/>
      <c r="G164" s="16"/>
      <c r="H164" s="16"/>
      <c r="I164" s="16"/>
      <c r="J164" s="16"/>
      <c r="K164" s="16"/>
      <c r="L164" s="16"/>
      <c r="M164" s="15"/>
      <c r="Q164" s="9" t="s">
        <v>532</v>
      </c>
      <c r="AW164" t="str">
        <f t="shared" si="7"/>
        <v xml:space="preserve"> </v>
      </c>
    </row>
    <row r="165" spans="1:49" ht="30" hidden="1" customHeight="1" x14ac:dyDescent="0.3">
      <c r="A165" s="15"/>
      <c r="B165" s="15"/>
      <c r="C165" s="15"/>
      <c r="D165" s="41"/>
      <c r="E165" s="16"/>
      <c r="F165" s="16"/>
      <c r="G165" s="16"/>
      <c r="H165" s="16"/>
      <c r="I165" s="16"/>
      <c r="J165" s="16"/>
      <c r="K165" s="16"/>
      <c r="L165" s="16"/>
      <c r="M165" s="15"/>
      <c r="Q165" s="9" t="s">
        <v>532</v>
      </c>
      <c r="AW165" t="str">
        <f t="shared" si="7"/>
        <v xml:space="preserve"> </v>
      </c>
    </row>
    <row r="166" spans="1:49" ht="30" hidden="1" customHeight="1" x14ac:dyDescent="0.3">
      <c r="A166" s="17" t="s">
        <v>220</v>
      </c>
      <c r="B166" s="15"/>
      <c r="C166" s="15"/>
      <c r="D166" s="41"/>
      <c r="E166" s="16"/>
      <c r="F166" s="16">
        <f>SUMIF(Q142:Q165,"0103",F142:F165)</f>
        <v>177644</v>
      </c>
      <c r="G166" s="16"/>
      <c r="H166" s="16">
        <f>SUMIF(Q142:Q165,"0103",H142:H165)</f>
        <v>5921479</v>
      </c>
      <c r="I166" s="16"/>
      <c r="J166" s="16">
        <f>SUMIF(Q142:Q165,"0103",J142:J165)</f>
        <v>0</v>
      </c>
      <c r="K166" s="16"/>
      <c r="L166" s="16">
        <f>SUMIF(Q142:Q165,"0103",L142:L165)</f>
        <v>6099123</v>
      </c>
      <c r="M166" s="15"/>
      <c r="N166" t="s">
        <v>221</v>
      </c>
      <c r="AW166" t="str">
        <f t="shared" si="7"/>
        <v xml:space="preserve">[ 합           계 ] 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verticalDpi="0" r:id="rId1"/>
  <rowBreaks count="3" manualBreakCount="3">
    <brk id="62" max="16383" man="1"/>
    <brk id="140" max="16383" man="1"/>
    <brk id="16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166"/>
  <sheetViews>
    <sheetView workbookViewId="0">
      <selection activeCell="D141" sqref="D141:L151"/>
    </sheetView>
  </sheetViews>
  <sheetFormatPr defaultRowHeight="16.5" x14ac:dyDescent="0.3"/>
  <cols>
    <col min="1" max="2" width="30.625" customWidth="1"/>
    <col min="3" max="3" width="4.625" customWidth="1"/>
    <col min="4" max="4" width="8.625" style="42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  <col min="49" max="49" width="65.125" hidden="1" customWidth="1"/>
  </cols>
  <sheetData>
    <row r="1" spans="1:49" ht="30" customHeight="1" x14ac:dyDescent="0.3">
      <c r="A1" s="6" t="str">
        <f>'공종별내역서(할로겐)'!A1</f>
        <v>[ 사옥 이산화탄소 소화설비 교체공사 ]</v>
      </c>
      <c r="B1" s="7"/>
      <c r="C1" s="7"/>
      <c r="D1" s="40"/>
      <c r="E1" s="7"/>
      <c r="F1" s="7"/>
      <c r="G1" s="7"/>
      <c r="H1" s="7"/>
      <c r="I1" s="7"/>
      <c r="J1" s="7"/>
      <c r="K1" s="7"/>
      <c r="L1" s="7"/>
      <c r="M1" s="8"/>
    </row>
    <row r="2" spans="1:49" ht="30" customHeight="1" x14ac:dyDescent="0.3">
      <c r="A2" s="112" t="s">
        <v>2</v>
      </c>
      <c r="B2" s="112" t="s">
        <v>3</v>
      </c>
      <c r="C2" s="112" t="s">
        <v>4</v>
      </c>
      <c r="D2" s="115" t="s">
        <v>5</v>
      </c>
      <c r="E2" s="112" t="s">
        <v>6</v>
      </c>
      <c r="F2" s="112"/>
      <c r="G2" s="112" t="s">
        <v>9</v>
      </c>
      <c r="H2" s="112"/>
      <c r="I2" s="112" t="s">
        <v>10</v>
      </c>
      <c r="J2" s="112"/>
      <c r="K2" s="112" t="s">
        <v>11</v>
      </c>
      <c r="L2" s="112"/>
      <c r="M2" s="112" t="s">
        <v>12</v>
      </c>
      <c r="N2" s="114" t="s">
        <v>20</v>
      </c>
      <c r="O2" s="114" t="s">
        <v>14</v>
      </c>
      <c r="P2" s="114" t="s">
        <v>21</v>
      </c>
      <c r="Q2" s="114" t="s">
        <v>13</v>
      </c>
      <c r="R2" s="114" t="s">
        <v>22</v>
      </c>
      <c r="S2" s="114" t="s">
        <v>23</v>
      </c>
      <c r="T2" s="114" t="s">
        <v>24</v>
      </c>
      <c r="U2" s="114" t="s">
        <v>25</v>
      </c>
      <c r="V2" s="114" t="s">
        <v>26</v>
      </c>
      <c r="W2" s="114" t="s">
        <v>27</v>
      </c>
      <c r="X2" s="114" t="s">
        <v>28</v>
      </c>
      <c r="Y2" s="114" t="s">
        <v>29</v>
      </c>
      <c r="Z2" s="114" t="s">
        <v>30</v>
      </c>
      <c r="AA2" s="114" t="s">
        <v>31</v>
      </c>
      <c r="AB2" s="114" t="s">
        <v>32</v>
      </c>
      <c r="AC2" s="114" t="s">
        <v>33</v>
      </c>
      <c r="AD2" s="114" t="s">
        <v>34</v>
      </c>
      <c r="AE2" s="114" t="s">
        <v>35</v>
      </c>
      <c r="AF2" s="114" t="s">
        <v>36</v>
      </c>
      <c r="AG2" s="114" t="s">
        <v>37</v>
      </c>
      <c r="AH2" s="114" t="s">
        <v>38</v>
      </c>
      <c r="AI2" s="114" t="s">
        <v>39</v>
      </c>
      <c r="AJ2" s="114" t="s">
        <v>40</v>
      </c>
      <c r="AK2" s="114" t="s">
        <v>41</v>
      </c>
      <c r="AL2" s="114" t="s">
        <v>42</v>
      </c>
      <c r="AM2" s="114" t="s">
        <v>43</v>
      </c>
      <c r="AN2" s="114" t="s">
        <v>44</v>
      </c>
      <c r="AO2" s="114" t="s">
        <v>45</v>
      </c>
      <c r="AP2" s="114" t="s">
        <v>46</v>
      </c>
      <c r="AQ2" s="114" t="s">
        <v>47</v>
      </c>
      <c r="AR2" s="114" t="s">
        <v>48</v>
      </c>
      <c r="AS2" s="114" t="s">
        <v>16</v>
      </c>
      <c r="AT2" s="114" t="s">
        <v>17</v>
      </c>
      <c r="AU2" s="114" t="s">
        <v>49</v>
      </c>
      <c r="AV2" s="114" t="s">
        <v>50</v>
      </c>
    </row>
    <row r="3" spans="1:49" ht="30" customHeight="1" x14ac:dyDescent="0.3">
      <c r="A3" s="112"/>
      <c r="B3" s="112"/>
      <c r="C3" s="112"/>
      <c r="D3" s="115"/>
      <c r="E3" s="10" t="s">
        <v>7</v>
      </c>
      <c r="F3" s="10" t="s">
        <v>8</v>
      </c>
      <c r="G3" s="10" t="s">
        <v>7</v>
      </c>
      <c r="H3" s="10" t="s">
        <v>8</v>
      </c>
      <c r="I3" s="10" t="s">
        <v>7</v>
      </c>
      <c r="J3" s="10" t="s">
        <v>8</v>
      </c>
      <c r="K3" s="10" t="s">
        <v>7</v>
      </c>
      <c r="L3" s="10" t="s">
        <v>8</v>
      </c>
      <c r="M3" s="112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114"/>
      <c r="AN3" s="114"/>
      <c r="AO3" s="114"/>
      <c r="AP3" s="114"/>
      <c r="AQ3" s="114"/>
      <c r="AR3" s="114"/>
      <c r="AS3" s="114"/>
      <c r="AT3" s="114"/>
      <c r="AU3" s="114"/>
      <c r="AV3" s="114"/>
    </row>
    <row r="4" spans="1:49" ht="30" hidden="1" customHeight="1" x14ac:dyDescent="0.3">
      <c r="A4" s="17" t="s">
        <v>53</v>
      </c>
      <c r="B4" s="17" t="s">
        <v>51</v>
      </c>
      <c r="C4" s="15"/>
      <c r="D4" s="41"/>
      <c r="E4" s="16"/>
      <c r="F4" s="16"/>
      <c r="G4" s="16"/>
      <c r="H4" s="16"/>
      <c r="I4" s="16"/>
      <c r="J4" s="16"/>
      <c r="K4" s="16"/>
      <c r="L4" s="16"/>
      <c r="M4" s="15"/>
      <c r="N4" s="3"/>
      <c r="O4" s="3"/>
      <c r="P4" s="3"/>
      <c r="Q4" s="2" t="s">
        <v>54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9" ht="30" hidden="1" customHeight="1" x14ac:dyDescent="0.3">
      <c r="A5" s="17" t="s">
        <v>55</v>
      </c>
      <c r="B5" s="17" t="s">
        <v>56</v>
      </c>
      <c r="C5" s="17" t="s">
        <v>57</v>
      </c>
      <c r="D5" s="41">
        <v>40</v>
      </c>
      <c r="E5" s="16">
        <f>TRUNC(일위대가목록!E18,0)</f>
        <v>0</v>
      </c>
      <c r="F5" s="16">
        <f t="shared" ref="F5:F46" si="0">TRUNC(E5*D5, 0)</f>
        <v>0</v>
      </c>
      <c r="G5" s="16">
        <f>TRUNC(일위대가목록!F18,0)</f>
        <v>0</v>
      </c>
      <c r="H5" s="16">
        <f t="shared" ref="H5:H45" si="1">TRUNC(G5*D5, 0)</f>
        <v>0</v>
      </c>
      <c r="I5" s="16">
        <f>TRUNC(일위대가목록!G18,0)</f>
        <v>0</v>
      </c>
      <c r="J5" s="16">
        <f t="shared" ref="J5:J45" si="2">TRUNC(I5*D5, 0)</f>
        <v>0</v>
      </c>
      <c r="K5" s="16">
        <f t="shared" ref="K5:L45" si="3">TRUNC(E5+G5+I5, 0)</f>
        <v>0</v>
      </c>
      <c r="L5" s="16">
        <f t="shared" si="3"/>
        <v>0</v>
      </c>
      <c r="M5" s="17" t="s">
        <v>58</v>
      </c>
      <c r="N5" s="2" t="s">
        <v>59</v>
      </c>
      <c r="O5" s="2" t="s">
        <v>51</v>
      </c>
      <c r="P5" s="2" t="s">
        <v>51</v>
      </c>
      <c r="Q5" s="2" t="s">
        <v>54</v>
      </c>
      <c r="R5" s="2" t="s">
        <v>60</v>
      </c>
      <c r="S5" s="2" t="s">
        <v>61</v>
      </c>
      <c r="T5" s="2" t="s">
        <v>61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51</v>
      </c>
      <c r="AS5" s="2" t="s">
        <v>51</v>
      </c>
      <c r="AT5" s="3"/>
      <c r="AU5" s="2" t="s">
        <v>62</v>
      </c>
      <c r="AV5" s="3">
        <v>21</v>
      </c>
      <c r="AW5" t="str">
        <f>CONCATENATE(A5," ",B5)</f>
        <v>450/75OV 저독성난연가교폴리올레핀절연전선(HFIX) 1.38㎜</v>
      </c>
    </row>
    <row r="6" spans="1:49" ht="30" hidden="1" customHeight="1" x14ac:dyDescent="0.3">
      <c r="A6" s="17" t="s">
        <v>55</v>
      </c>
      <c r="B6" s="34" t="s">
        <v>1255</v>
      </c>
      <c r="C6" s="17" t="s">
        <v>57</v>
      </c>
      <c r="D6" s="41">
        <f>ROUNDDOWN(D5*0.1,0)</f>
        <v>4</v>
      </c>
      <c r="E6" s="16">
        <f>TRUNC(일위대가목록!E18,0)</f>
        <v>0</v>
      </c>
      <c r="F6" s="16">
        <f t="shared" si="0"/>
        <v>0</v>
      </c>
      <c r="G6" s="16">
        <f>TRUNC(일위대가목록!F19,0)</f>
        <v>0</v>
      </c>
      <c r="H6" s="16">
        <f t="shared" si="1"/>
        <v>0</v>
      </c>
      <c r="I6" s="16">
        <f>TRUNC(일위대가목록!G19,0)</f>
        <v>0</v>
      </c>
      <c r="J6" s="16">
        <f t="shared" si="2"/>
        <v>0</v>
      </c>
      <c r="K6" s="16">
        <f t="shared" si="3"/>
        <v>0</v>
      </c>
      <c r="L6" s="16">
        <f t="shared" si="3"/>
        <v>0</v>
      </c>
      <c r="M6" s="17" t="s">
        <v>58</v>
      </c>
      <c r="N6" s="2" t="s">
        <v>59</v>
      </c>
      <c r="O6" s="2" t="s">
        <v>51</v>
      </c>
      <c r="P6" s="2" t="s">
        <v>51</v>
      </c>
      <c r="Q6" s="2" t="s">
        <v>54</v>
      </c>
      <c r="R6" s="2" t="s">
        <v>60</v>
      </c>
      <c r="S6" s="2" t="s">
        <v>61</v>
      </c>
      <c r="T6" s="2" t="s">
        <v>61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51</v>
      </c>
      <c r="AS6" s="2" t="s">
        <v>51</v>
      </c>
      <c r="AT6" s="3"/>
      <c r="AU6" s="2" t="s">
        <v>62</v>
      </c>
      <c r="AV6" s="3">
        <v>21</v>
      </c>
      <c r="AW6" t="str">
        <f t="shared" ref="AW6:AW69" si="4">CONCATENATE(A6," ",B6)</f>
        <v>450/75OV 저독성난연가교폴리올레핀절연전선(HFIX) HFIX, 1.38㎜ (할증분 10%)</v>
      </c>
    </row>
    <row r="7" spans="1:49" ht="30" hidden="1" customHeight="1" x14ac:dyDescent="0.3">
      <c r="A7" s="17" t="s">
        <v>55</v>
      </c>
      <c r="B7" s="17" t="s">
        <v>63</v>
      </c>
      <c r="C7" s="17" t="s">
        <v>57</v>
      </c>
      <c r="D7" s="41">
        <v>2548</v>
      </c>
      <c r="E7" s="16">
        <f>TRUNC(일위대가목록!E19,0)</f>
        <v>0</v>
      </c>
      <c r="F7" s="16">
        <f t="shared" si="0"/>
        <v>0</v>
      </c>
      <c r="G7" s="16">
        <f>TRUNC(일위대가목록!F18,0)</f>
        <v>0</v>
      </c>
      <c r="H7" s="16">
        <f t="shared" si="1"/>
        <v>0</v>
      </c>
      <c r="I7" s="16">
        <f>TRUNC(일위대가목록!G18,0)</f>
        <v>0</v>
      </c>
      <c r="J7" s="16">
        <f t="shared" si="2"/>
        <v>0</v>
      </c>
      <c r="K7" s="16">
        <f t="shared" si="3"/>
        <v>0</v>
      </c>
      <c r="L7" s="16">
        <f t="shared" si="3"/>
        <v>0</v>
      </c>
      <c r="M7" s="17" t="s">
        <v>64</v>
      </c>
      <c r="N7" s="2" t="s">
        <v>65</v>
      </c>
      <c r="O7" s="2" t="s">
        <v>51</v>
      </c>
      <c r="P7" s="2" t="s">
        <v>51</v>
      </c>
      <c r="Q7" s="2" t="s">
        <v>54</v>
      </c>
      <c r="R7" s="2" t="s">
        <v>60</v>
      </c>
      <c r="S7" s="2" t="s">
        <v>61</v>
      </c>
      <c r="T7" s="2" t="s">
        <v>61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51</v>
      </c>
      <c r="AS7" s="2" t="s">
        <v>51</v>
      </c>
      <c r="AT7" s="3"/>
      <c r="AU7" s="2" t="s">
        <v>66</v>
      </c>
      <c r="AV7" s="3">
        <v>22</v>
      </c>
      <c r="AW7" t="str">
        <f t="shared" si="4"/>
        <v>450/75OV 저독성난연가교폴리올레핀절연전선(HFIX) 1.78㎜</v>
      </c>
    </row>
    <row r="8" spans="1:49" ht="30" hidden="1" customHeight="1" x14ac:dyDescent="0.3">
      <c r="A8" s="17" t="s">
        <v>55</v>
      </c>
      <c r="B8" s="34" t="s">
        <v>1302</v>
      </c>
      <c r="C8" s="17" t="s">
        <v>57</v>
      </c>
      <c r="D8" s="41">
        <f>ROUNDDOWN(D7*0.1,0)</f>
        <v>254</v>
      </c>
      <c r="E8" s="16">
        <f>TRUNC(일위대가목록!E19,0)</f>
        <v>0</v>
      </c>
      <c r="F8" s="16">
        <f t="shared" si="0"/>
        <v>0</v>
      </c>
      <c r="G8" s="16">
        <f>TRUNC(일위대가목록!F19,0)</f>
        <v>0</v>
      </c>
      <c r="H8" s="16">
        <f t="shared" si="1"/>
        <v>0</v>
      </c>
      <c r="I8" s="16">
        <f>TRUNC(일위대가목록!G19,0)</f>
        <v>0</v>
      </c>
      <c r="J8" s="16">
        <f t="shared" si="2"/>
        <v>0</v>
      </c>
      <c r="K8" s="16">
        <f t="shared" si="3"/>
        <v>0</v>
      </c>
      <c r="L8" s="16">
        <f t="shared" si="3"/>
        <v>0</v>
      </c>
      <c r="M8" s="17" t="s">
        <v>64</v>
      </c>
      <c r="N8" s="2" t="s">
        <v>65</v>
      </c>
      <c r="O8" s="2" t="s">
        <v>51</v>
      </c>
      <c r="P8" s="2" t="s">
        <v>51</v>
      </c>
      <c r="Q8" s="2" t="s">
        <v>54</v>
      </c>
      <c r="R8" s="2" t="s">
        <v>60</v>
      </c>
      <c r="S8" s="2" t="s">
        <v>61</v>
      </c>
      <c r="T8" s="2" t="s">
        <v>61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51</v>
      </c>
      <c r="AS8" s="2" t="s">
        <v>51</v>
      </c>
      <c r="AT8" s="3"/>
      <c r="AU8" s="2" t="s">
        <v>66</v>
      </c>
      <c r="AV8" s="3">
        <v>22</v>
      </c>
      <c r="AW8" t="str">
        <f t="shared" si="4"/>
        <v>450/75OV 저독성난연가교폴리올레핀절연전선(HFIX) HFIX, 1.78㎜(할증분 10%)</v>
      </c>
    </row>
    <row r="9" spans="1:49" ht="30" hidden="1" customHeight="1" x14ac:dyDescent="0.3">
      <c r="A9" s="17" t="s">
        <v>67</v>
      </c>
      <c r="B9" s="17" t="s">
        <v>68</v>
      </c>
      <c r="C9" s="17" t="s">
        <v>57</v>
      </c>
      <c r="D9" s="41">
        <v>10</v>
      </c>
      <c r="E9" s="16">
        <f>TRUNC(일위대가목록!E20,0)</f>
        <v>0</v>
      </c>
      <c r="F9" s="16">
        <f t="shared" si="0"/>
        <v>0</v>
      </c>
      <c r="G9" s="16">
        <f>TRUNC(일위대가목록!F20,0)</f>
        <v>0</v>
      </c>
      <c r="H9" s="16">
        <f t="shared" si="1"/>
        <v>0</v>
      </c>
      <c r="I9" s="16">
        <f>TRUNC(일위대가목록!G20,0)</f>
        <v>0</v>
      </c>
      <c r="J9" s="16">
        <f t="shared" si="2"/>
        <v>0</v>
      </c>
      <c r="K9" s="16">
        <f t="shared" si="3"/>
        <v>0</v>
      </c>
      <c r="L9" s="16">
        <f t="shared" si="3"/>
        <v>0</v>
      </c>
      <c r="M9" s="17" t="s">
        <v>69</v>
      </c>
      <c r="N9" s="2" t="s">
        <v>70</v>
      </c>
      <c r="O9" s="2" t="s">
        <v>51</v>
      </c>
      <c r="P9" s="2" t="s">
        <v>51</v>
      </c>
      <c r="Q9" s="2" t="s">
        <v>54</v>
      </c>
      <c r="R9" s="2" t="s">
        <v>60</v>
      </c>
      <c r="S9" s="2" t="s">
        <v>61</v>
      </c>
      <c r="T9" s="2" t="s">
        <v>61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51</v>
      </c>
      <c r="AS9" s="2" t="s">
        <v>51</v>
      </c>
      <c r="AT9" s="3"/>
      <c r="AU9" s="2" t="s">
        <v>71</v>
      </c>
      <c r="AV9" s="3">
        <v>23</v>
      </c>
      <c r="AW9" t="str">
        <f t="shared" si="4"/>
        <v>0.6/1kV 내화 케이블 (F-FR-8) 3C 2.5㎟</v>
      </c>
    </row>
    <row r="10" spans="1:49" ht="30" hidden="1" customHeight="1" x14ac:dyDescent="0.3">
      <c r="A10" s="17" t="s">
        <v>67</v>
      </c>
      <c r="B10" s="34" t="s">
        <v>1306</v>
      </c>
      <c r="C10" s="17" t="s">
        <v>57</v>
      </c>
      <c r="D10" s="41">
        <f>ROUNDDOWN(D9*0.1,0)</f>
        <v>1</v>
      </c>
      <c r="E10" s="16">
        <f>TRUNC(일위대가목록!E20,0)</f>
        <v>0</v>
      </c>
      <c r="F10" s="16">
        <f t="shared" si="0"/>
        <v>0</v>
      </c>
      <c r="G10" s="16">
        <f>TRUNC(일위대가목록!F20,0)</f>
        <v>0</v>
      </c>
      <c r="H10" s="16">
        <f t="shared" si="1"/>
        <v>0</v>
      </c>
      <c r="I10" s="16">
        <f>TRUNC(일위대가목록!G21,0)</f>
        <v>0</v>
      </c>
      <c r="J10" s="16">
        <f t="shared" si="2"/>
        <v>0</v>
      </c>
      <c r="K10" s="16">
        <f t="shared" si="3"/>
        <v>0</v>
      </c>
      <c r="L10" s="16">
        <f t="shared" si="3"/>
        <v>0</v>
      </c>
      <c r="M10" s="17" t="s">
        <v>69</v>
      </c>
      <c r="N10" s="2" t="s">
        <v>70</v>
      </c>
      <c r="O10" s="2" t="s">
        <v>51</v>
      </c>
      <c r="P10" s="2" t="s">
        <v>51</v>
      </c>
      <c r="Q10" s="2" t="s">
        <v>54</v>
      </c>
      <c r="R10" s="2" t="s">
        <v>60</v>
      </c>
      <c r="S10" s="2" t="s">
        <v>61</v>
      </c>
      <c r="T10" s="2" t="s">
        <v>61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51</v>
      </c>
      <c r="AS10" s="2" t="s">
        <v>51</v>
      </c>
      <c r="AT10" s="3"/>
      <c r="AU10" s="2" t="s">
        <v>71</v>
      </c>
      <c r="AV10" s="3">
        <v>23</v>
      </c>
      <c r="AW10" t="str">
        <f t="shared" si="4"/>
        <v>0.6/1kV 내화 케이블 (F-FR-8) 3C*2.5㎟ (할증분 5%)</v>
      </c>
    </row>
    <row r="11" spans="1:49" ht="30" hidden="1" customHeight="1" x14ac:dyDescent="0.3">
      <c r="A11" s="17" t="s">
        <v>72</v>
      </c>
      <c r="B11" s="17" t="s">
        <v>73</v>
      </c>
      <c r="C11" s="17" t="s">
        <v>74</v>
      </c>
      <c r="D11" s="41">
        <v>66</v>
      </c>
      <c r="E11" s="16">
        <f>TRUNC(일위대가목록!E11,0)</f>
        <v>0</v>
      </c>
      <c r="F11" s="16">
        <f t="shared" si="0"/>
        <v>0</v>
      </c>
      <c r="G11" s="16">
        <f>TRUNC(일위대가목록!F11,0)</f>
        <v>0</v>
      </c>
      <c r="H11" s="16">
        <f t="shared" si="1"/>
        <v>0</v>
      </c>
      <c r="I11" s="16">
        <f>TRUNC(일위대가목록!G11,0)</f>
        <v>0</v>
      </c>
      <c r="J11" s="16">
        <f t="shared" si="2"/>
        <v>0</v>
      </c>
      <c r="K11" s="16">
        <f t="shared" si="3"/>
        <v>0</v>
      </c>
      <c r="L11" s="16">
        <f t="shared" si="3"/>
        <v>0</v>
      </c>
      <c r="M11" s="17" t="s">
        <v>75</v>
      </c>
      <c r="N11" s="2" t="s">
        <v>76</v>
      </c>
      <c r="O11" s="2" t="s">
        <v>51</v>
      </c>
      <c r="P11" s="2" t="s">
        <v>51</v>
      </c>
      <c r="Q11" s="2" t="s">
        <v>54</v>
      </c>
      <c r="R11" s="2" t="s">
        <v>60</v>
      </c>
      <c r="S11" s="2" t="s">
        <v>61</v>
      </c>
      <c r="T11" s="2" t="s">
        <v>61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2" t="s">
        <v>51</v>
      </c>
      <c r="AS11" s="2" t="s">
        <v>51</v>
      </c>
      <c r="AT11" s="3"/>
      <c r="AU11" s="2" t="s">
        <v>77</v>
      </c>
      <c r="AV11" s="3">
        <v>14</v>
      </c>
      <c r="AW11" t="str">
        <f t="shared" si="4"/>
        <v>강제 전선관 아연도  16 mm</v>
      </c>
    </row>
    <row r="12" spans="1:49" ht="30" hidden="1" customHeight="1" x14ac:dyDescent="0.3">
      <c r="A12" s="17" t="s">
        <v>72</v>
      </c>
      <c r="B12" s="17" t="s">
        <v>1307</v>
      </c>
      <c r="C12" s="17" t="s">
        <v>74</v>
      </c>
      <c r="D12" s="41">
        <f>ROUNDDOWN(D11*0.1,0)</f>
        <v>6</v>
      </c>
      <c r="E12" s="16">
        <f>TRUNC(일위대가목록!E11,0)</f>
        <v>0</v>
      </c>
      <c r="F12" s="16">
        <f t="shared" si="0"/>
        <v>0</v>
      </c>
      <c r="G12" s="16">
        <f>TRUNC(일위대가목록!F11,0)</f>
        <v>0</v>
      </c>
      <c r="H12" s="16">
        <f t="shared" si="1"/>
        <v>0</v>
      </c>
      <c r="I12" s="16">
        <f>TRUNC(일위대가목록!G12,0)</f>
        <v>0</v>
      </c>
      <c r="J12" s="16">
        <f t="shared" si="2"/>
        <v>0</v>
      </c>
      <c r="K12" s="16">
        <f t="shared" si="3"/>
        <v>0</v>
      </c>
      <c r="L12" s="16">
        <f t="shared" si="3"/>
        <v>0</v>
      </c>
      <c r="M12" s="17" t="s">
        <v>75</v>
      </c>
      <c r="N12" s="2" t="s">
        <v>76</v>
      </c>
      <c r="O12" s="2" t="s">
        <v>51</v>
      </c>
      <c r="P12" s="2" t="s">
        <v>51</v>
      </c>
      <c r="Q12" s="2" t="s">
        <v>54</v>
      </c>
      <c r="R12" s="2" t="s">
        <v>60</v>
      </c>
      <c r="S12" s="2" t="s">
        <v>61</v>
      </c>
      <c r="T12" s="2" t="s">
        <v>61</v>
      </c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2" t="s">
        <v>51</v>
      </c>
      <c r="AS12" s="2" t="s">
        <v>51</v>
      </c>
      <c r="AT12" s="3"/>
      <c r="AU12" s="2" t="s">
        <v>77</v>
      </c>
      <c r="AV12" s="3">
        <v>14</v>
      </c>
      <c r="AW12" t="str">
        <f t="shared" si="4"/>
        <v>강제 전선관 아연도  16 mm(할증분 10%)</v>
      </c>
    </row>
    <row r="13" spans="1:49" ht="30" hidden="1" customHeight="1" x14ac:dyDescent="0.3">
      <c r="A13" s="17" t="s">
        <v>72</v>
      </c>
      <c r="B13" s="17" t="s">
        <v>78</v>
      </c>
      <c r="C13" s="17" t="s">
        <v>74</v>
      </c>
      <c r="D13" s="41">
        <v>259</v>
      </c>
      <c r="E13" s="16">
        <f>TRUNC(일위대가목록!E12,0)</f>
        <v>0</v>
      </c>
      <c r="F13" s="16">
        <f t="shared" si="0"/>
        <v>0</v>
      </c>
      <c r="G13" s="16">
        <f>TRUNC(일위대가목록!F12,0)</f>
        <v>0</v>
      </c>
      <c r="H13" s="16">
        <f t="shared" si="1"/>
        <v>0</v>
      </c>
      <c r="I13" s="16">
        <f>TRUNC(일위대가목록!G11,0)</f>
        <v>0</v>
      </c>
      <c r="J13" s="16">
        <f t="shared" si="2"/>
        <v>0</v>
      </c>
      <c r="K13" s="16">
        <f t="shared" si="3"/>
        <v>0</v>
      </c>
      <c r="L13" s="16">
        <f t="shared" si="3"/>
        <v>0</v>
      </c>
      <c r="M13" s="17" t="s">
        <v>79</v>
      </c>
      <c r="N13" s="2" t="s">
        <v>80</v>
      </c>
      <c r="O13" s="2" t="s">
        <v>51</v>
      </c>
      <c r="P13" s="2" t="s">
        <v>51</v>
      </c>
      <c r="Q13" s="2" t="s">
        <v>54</v>
      </c>
      <c r="R13" s="2" t="s">
        <v>60</v>
      </c>
      <c r="S13" s="2" t="s">
        <v>61</v>
      </c>
      <c r="T13" s="2" t="s">
        <v>61</v>
      </c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2" t="s">
        <v>51</v>
      </c>
      <c r="AS13" s="2" t="s">
        <v>51</v>
      </c>
      <c r="AT13" s="3"/>
      <c r="AU13" s="2" t="s">
        <v>81</v>
      </c>
      <c r="AV13" s="3">
        <v>15</v>
      </c>
      <c r="AW13" t="str">
        <f t="shared" si="4"/>
        <v>강제 전선관 아연도  22 mm</v>
      </c>
    </row>
    <row r="14" spans="1:49" ht="30" hidden="1" customHeight="1" x14ac:dyDescent="0.3">
      <c r="A14" s="17" t="s">
        <v>72</v>
      </c>
      <c r="B14" s="17" t="s">
        <v>1308</v>
      </c>
      <c r="C14" s="17" t="s">
        <v>74</v>
      </c>
      <c r="D14" s="41">
        <f>ROUNDDOWN(D13*0.1,0)</f>
        <v>25</v>
      </c>
      <c r="E14" s="16">
        <f>TRUNC(일위대가목록!E12,0)</f>
        <v>0</v>
      </c>
      <c r="F14" s="16">
        <f t="shared" si="0"/>
        <v>0</v>
      </c>
      <c r="G14" s="16">
        <f>TRUNC(일위대가목록!F12,0)</f>
        <v>0</v>
      </c>
      <c r="H14" s="16">
        <f t="shared" si="1"/>
        <v>0</v>
      </c>
      <c r="I14" s="16">
        <f>TRUNC(일위대가목록!G12,0)</f>
        <v>0</v>
      </c>
      <c r="J14" s="16">
        <f t="shared" si="2"/>
        <v>0</v>
      </c>
      <c r="K14" s="16">
        <f t="shared" si="3"/>
        <v>0</v>
      </c>
      <c r="L14" s="16">
        <f t="shared" si="3"/>
        <v>0</v>
      </c>
      <c r="M14" s="17" t="s">
        <v>79</v>
      </c>
      <c r="N14" s="2" t="s">
        <v>80</v>
      </c>
      <c r="O14" s="2" t="s">
        <v>51</v>
      </c>
      <c r="P14" s="2" t="s">
        <v>51</v>
      </c>
      <c r="Q14" s="2" t="s">
        <v>54</v>
      </c>
      <c r="R14" s="2" t="s">
        <v>60</v>
      </c>
      <c r="S14" s="2" t="s">
        <v>61</v>
      </c>
      <c r="T14" s="2" t="s">
        <v>61</v>
      </c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2" t="s">
        <v>51</v>
      </c>
      <c r="AS14" s="2" t="s">
        <v>51</v>
      </c>
      <c r="AT14" s="3"/>
      <c r="AU14" s="2" t="s">
        <v>81</v>
      </c>
      <c r="AV14" s="3">
        <v>15</v>
      </c>
      <c r="AW14" t="str">
        <f t="shared" si="4"/>
        <v>강제 전선관 아연도  22 mm(할증분 10%)</v>
      </c>
    </row>
    <row r="15" spans="1:49" ht="30" hidden="1" customHeight="1" x14ac:dyDescent="0.3">
      <c r="A15" s="17" t="s">
        <v>72</v>
      </c>
      <c r="B15" s="17" t="s">
        <v>82</v>
      </c>
      <c r="C15" s="17" t="s">
        <v>74</v>
      </c>
      <c r="D15" s="41">
        <v>131</v>
      </c>
      <c r="E15" s="16">
        <f>TRUNC(일위대가목록!E13,0)</f>
        <v>0</v>
      </c>
      <c r="F15" s="16">
        <f t="shared" si="0"/>
        <v>0</v>
      </c>
      <c r="G15" s="16">
        <f>TRUNC(일위대가목록!F13,0)</f>
        <v>0</v>
      </c>
      <c r="H15" s="16">
        <f t="shared" si="1"/>
        <v>0</v>
      </c>
      <c r="I15" s="16">
        <f>TRUNC(일위대가목록!G13,0)</f>
        <v>0</v>
      </c>
      <c r="J15" s="16">
        <f t="shared" si="2"/>
        <v>0</v>
      </c>
      <c r="K15" s="16">
        <f t="shared" si="3"/>
        <v>0</v>
      </c>
      <c r="L15" s="16">
        <f t="shared" si="3"/>
        <v>0</v>
      </c>
      <c r="M15" s="17" t="s">
        <v>83</v>
      </c>
      <c r="N15" s="2" t="s">
        <v>84</v>
      </c>
      <c r="O15" s="2" t="s">
        <v>51</v>
      </c>
      <c r="P15" s="2" t="s">
        <v>51</v>
      </c>
      <c r="Q15" s="2" t="s">
        <v>54</v>
      </c>
      <c r="R15" s="2" t="s">
        <v>60</v>
      </c>
      <c r="S15" s="2" t="s">
        <v>61</v>
      </c>
      <c r="T15" s="2" t="s">
        <v>61</v>
      </c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2" t="s">
        <v>51</v>
      </c>
      <c r="AS15" s="2" t="s">
        <v>51</v>
      </c>
      <c r="AT15" s="3"/>
      <c r="AU15" s="2" t="s">
        <v>85</v>
      </c>
      <c r="AV15" s="3">
        <v>16</v>
      </c>
      <c r="AW15" t="str">
        <f t="shared" si="4"/>
        <v>강제 전선관 아연도  28 mm</v>
      </c>
    </row>
    <row r="16" spans="1:49" ht="30" hidden="1" customHeight="1" x14ac:dyDescent="0.3">
      <c r="A16" s="17" t="s">
        <v>72</v>
      </c>
      <c r="B16" s="17" t="s">
        <v>1309</v>
      </c>
      <c r="C16" s="17" t="s">
        <v>74</v>
      </c>
      <c r="D16" s="41">
        <f>ROUNDDOWN(D15*0.1,0)</f>
        <v>13</v>
      </c>
      <c r="E16" s="16">
        <f>TRUNC(일위대가목록!E13,0)</f>
        <v>0</v>
      </c>
      <c r="F16" s="16">
        <f t="shared" si="0"/>
        <v>0</v>
      </c>
      <c r="G16" s="16">
        <f>TRUNC(일위대가목록!F13,0)</f>
        <v>0</v>
      </c>
      <c r="H16" s="16">
        <f t="shared" si="1"/>
        <v>0</v>
      </c>
      <c r="I16" s="16">
        <f>TRUNC(일위대가목록!G14,0)</f>
        <v>0</v>
      </c>
      <c r="J16" s="16">
        <f t="shared" si="2"/>
        <v>0</v>
      </c>
      <c r="K16" s="16">
        <f t="shared" si="3"/>
        <v>0</v>
      </c>
      <c r="L16" s="16">
        <f t="shared" si="3"/>
        <v>0</v>
      </c>
      <c r="M16" s="17" t="s">
        <v>83</v>
      </c>
      <c r="N16" s="2" t="s">
        <v>84</v>
      </c>
      <c r="O16" s="2" t="s">
        <v>51</v>
      </c>
      <c r="P16" s="2" t="s">
        <v>51</v>
      </c>
      <c r="Q16" s="2" t="s">
        <v>54</v>
      </c>
      <c r="R16" s="2" t="s">
        <v>60</v>
      </c>
      <c r="S16" s="2" t="s">
        <v>61</v>
      </c>
      <c r="T16" s="2" t="s">
        <v>61</v>
      </c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2" t="s">
        <v>51</v>
      </c>
      <c r="AS16" s="2" t="s">
        <v>51</v>
      </c>
      <c r="AT16" s="3"/>
      <c r="AU16" s="2" t="s">
        <v>85</v>
      </c>
      <c r="AV16" s="3">
        <v>16</v>
      </c>
      <c r="AW16" t="str">
        <f t="shared" si="4"/>
        <v>강제 전선관 아연도  28 mm(할증분 10%)</v>
      </c>
    </row>
    <row r="17" spans="1:49" ht="30" hidden="1" customHeight="1" x14ac:dyDescent="0.3">
      <c r="A17" s="17" t="s">
        <v>86</v>
      </c>
      <c r="B17" s="17" t="s">
        <v>87</v>
      </c>
      <c r="C17" s="17" t="s">
        <v>74</v>
      </c>
      <c r="D17" s="41">
        <v>10</v>
      </c>
      <c r="E17" s="16">
        <f>TRUNC(일위대가목록!E14,0)</f>
        <v>0</v>
      </c>
      <c r="F17" s="16">
        <f t="shared" si="0"/>
        <v>0</v>
      </c>
      <c r="G17" s="16">
        <f>TRUNC(일위대가목록!F14,0)</f>
        <v>0</v>
      </c>
      <c r="H17" s="16">
        <f t="shared" si="1"/>
        <v>0</v>
      </c>
      <c r="I17" s="16">
        <f>TRUNC(일위대가목록!G14,0)</f>
        <v>0</v>
      </c>
      <c r="J17" s="16">
        <f t="shared" si="2"/>
        <v>0</v>
      </c>
      <c r="K17" s="16">
        <f t="shared" si="3"/>
        <v>0</v>
      </c>
      <c r="L17" s="16">
        <f t="shared" si="3"/>
        <v>0</v>
      </c>
      <c r="M17" s="17" t="s">
        <v>88</v>
      </c>
      <c r="N17" s="2" t="s">
        <v>89</v>
      </c>
      <c r="O17" s="2" t="s">
        <v>51</v>
      </c>
      <c r="P17" s="2" t="s">
        <v>51</v>
      </c>
      <c r="Q17" s="2" t="s">
        <v>54</v>
      </c>
      <c r="R17" s="2" t="s">
        <v>60</v>
      </c>
      <c r="S17" s="2" t="s">
        <v>61</v>
      </c>
      <c r="T17" s="2" t="s">
        <v>61</v>
      </c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2" t="s">
        <v>51</v>
      </c>
      <c r="AS17" s="2" t="s">
        <v>51</v>
      </c>
      <c r="AT17" s="3"/>
      <c r="AU17" s="2" t="s">
        <v>90</v>
      </c>
      <c r="AV17" s="3">
        <v>17</v>
      </c>
      <c r="AW17" t="str">
        <f t="shared" si="4"/>
        <v>1종금속제가요전선관 16 mm 비방수</v>
      </c>
    </row>
    <row r="18" spans="1:49" ht="30" hidden="1" customHeight="1" x14ac:dyDescent="0.3">
      <c r="A18" s="17" t="s">
        <v>86</v>
      </c>
      <c r="B18" s="17" t="s">
        <v>1310</v>
      </c>
      <c r="C18" s="17" t="s">
        <v>74</v>
      </c>
      <c r="D18" s="41">
        <f>ROUNDDOWN(D17*0.1,0)</f>
        <v>1</v>
      </c>
      <c r="E18" s="16">
        <f>TRUNC(일위대가목록!E14,0)</f>
        <v>0</v>
      </c>
      <c r="F18" s="16">
        <f t="shared" si="0"/>
        <v>0</v>
      </c>
      <c r="G18" s="16">
        <f>TRUNC(일위대가목록!F14,0)</f>
        <v>0</v>
      </c>
      <c r="H18" s="16">
        <f t="shared" si="1"/>
        <v>0</v>
      </c>
      <c r="I18" s="16">
        <f>TRUNC(일위대가목록!G15,0)</f>
        <v>0</v>
      </c>
      <c r="J18" s="16">
        <f t="shared" si="2"/>
        <v>0</v>
      </c>
      <c r="K18" s="16">
        <f t="shared" si="3"/>
        <v>0</v>
      </c>
      <c r="L18" s="16">
        <f t="shared" si="3"/>
        <v>0</v>
      </c>
      <c r="M18" s="17" t="s">
        <v>88</v>
      </c>
      <c r="N18" s="2" t="s">
        <v>89</v>
      </c>
      <c r="O18" s="2" t="s">
        <v>51</v>
      </c>
      <c r="P18" s="2" t="s">
        <v>51</v>
      </c>
      <c r="Q18" s="2" t="s">
        <v>54</v>
      </c>
      <c r="R18" s="2" t="s">
        <v>60</v>
      </c>
      <c r="S18" s="2" t="s">
        <v>61</v>
      </c>
      <c r="T18" s="2" t="s">
        <v>61</v>
      </c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2" t="s">
        <v>51</v>
      </c>
      <c r="AS18" s="2" t="s">
        <v>51</v>
      </c>
      <c r="AT18" s="3"/>
      <c r="AU18" s="2" t="s">
        <v>90</v>
      </c>
      <c r="AV18" s="3">
        <v>17</v>
      </c>
      <c r="AW18" t="str">
        <f t="shared" si="4"/>
        <v>1종금속제가요전선관 16 mm 비방수(할증분 10%)</v>
      </c>
    </row>
    <row r="19" spans="1:49" ht="30" hidden="1" customHeight="1" x14ac:dyDescent="0.3">
      <c r="A19" s="17" t="s">
        <v>91</v>
      </c>
      <c r="B19" s="17" t="s">
        <v>92</v>
      </c>
      <c r="C19" s="17" t="s">
        <v>1311</v>
      </c>
      <c r="D19" s="41">
        <f>'산출조사서(소방전기)'!L47+'산출조사서(소방전기)'!L50+'산출조사서(소방전기)'!L65+'산출조사서(소방전기)'!L114</f>
        <v>43.999000000000002</v>
      </c>
      <c r="E19" s="16">
        <f>TRUNC(일위대가목록!E15,0)</f>
        <v>0</v>
      </c>
      <c r="F19" s="16">
        <f t="shared" si="0"/>
        <v>0</v>
      </c>
      <c r="G19" s="16">
        <f>TRUNC(일위대가목록!F15,0)</f>
        <v>0</v>
      </c>
      <c r="H19" s="16">
        <f t="shared" si="1"/>
        <v>0</v>
      </c>
      <c r="I19" s="16">
        <f>TRUNC(일위대가목록!G15,0)</f>
        <v>0</v>
      </c>
      <c r="J19" s="16">
        <f t="shared" si="2"/>
        <v>0</v>
      </c>
      <c r="K19" s="16">
        <f t="shared" si="3"/>
        <v>0</v>
      </c>
      <c r="L19" s="16">
        <f t="shared" si="3"/>
        <v>0</v>
      </c>
      <c r="M19" s="17" t="s">
        <v>94</v>
      </c>
      <c r="N19" s="2" t="s">
        <v>95</v>
      </c>
      <c r="O19" s="2" t="s">
        <v>51</v>
      </c>
      <c r="P19" s="2" t="s">
        <v>51</v>
      </c>
      <c r="Q19" s="2" t="s">
        <v>54</v>
      </c>
      <c r="R19" s="2" t="s">
        <v>60</v>
      </c>
      <c r="S19" s="2" t="s">
        <v>61</v>
      </c>
      <c r="T19" s="2" t="s">
        <v>61</v>
      </c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2" t="s">
        <v>51</v>
      </c>
      <c r="AS19" s="2" t="s">
        <v>51</v>
      </c>
      <c r="AT19" s="3"/>
      <c r="AU19" s="2" t="s">
        <v>96</v>
      </c>
      <c r="AV19" s="3">
        <v>18</v>
      </c>
      <c r="AW19" t="str">
        <f t="shared" si="4"/>
        <v>전선관지지대 16 C</v>
      </c>
    </row>
    <row r="20" spans="1:49" ht="30" hidden="1" customHeight="1" x14ac:dyDescent="0.3">
      <c r="A20" s="17" t="s">
        <v>91</v>
      </c>
      <c r="B20" s="17" t="s">
        <v>97</v>
      </c>
      <c r="C20" s="17" t="s">
        <v>1311</v>
      </c>
      <c r="D20" s="41">
        <f>'산출조사서(소방전기)'!L8+'산출조사서(소방전기)'!L11+'산출조사서(소방전기)'!L14+'산출조사서(소방전기)'!L21+'산출조사서(소방전기)'!L78+'산출조사서(소방전기)'!L90+'산출조사서(소방전기)'!L150+'산출조사서(소방전기)'!L153</f>
        <v>172.666</v>
      </c>
      <c r="E20" s="16">
        <f>TRUNC(일위대가목록!E16,0)</f>
        <v>0</v>
      </c>
      <c r="F20" s="16">
        <f t="shared" si="0"/>
        <v>0</v>
      </c>
      <c r="G20" s="16">
        <f>TRUNC(일위대가목록!F16,0)</f>
        <v>0</v>
      </c>
      <c r="H20" s="16">
        <f t="shared" si="1"/>
        <v>0</v>
      </c>
      <c r="I20" s="16">
        <f>TRUNC(일위대가목록!G16,0)</f>
        <v>0</v>
      </c>
      <c r="J20" s="16">
        <f t="shared" si="2"/>
        <v>0</v>
      </c>
      <c r="K20" s="16">
        <f t="shared" si="3"/>
        <v>0</v>
      </c>
      <c r="L20" s="16">
        <f t="shared" si="3"/>
        <v>0</v>
      </c>
      <c r="M20" s="17" t="s">
        <v>98</v>
      </c>
      <c r="N20" s="2" t="s">
        <v>99</v>
      </c>
      <c r="O20" s="2" t="s">
        <v>51</v>
      </c>
      <c r="P20" s="2" t="s">
        <v>51</v>
      </c>
      <c r="Q20" s="2" t="s">
        <v>54</v>
      </c>
      <c r="R20" s="2" t="s">
        <v>60</v>
      </c>
      <c r="S20" s="2" t="s">
        <v>61</v>
      </c>
      <c r="T20" s="2" t="s">
        <v>61</v>
      </c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2" t="s">
        <v>51</v>
      </c>
      <c r="AS20" s="2" t="s">
        <v>51</v>
      </c>
      <c r="AT20" s="3"/>
      <c r="AU20" s="2" t="s">
        <v>100</v>
      </c>
      <c r="AV20" s="3">
        <v>19</v>
      </c>
      <c r="AW20" t="str">
        <f t="shared" si="4"/>
        <v>전선관지지대 22 C</v>
      </c>
    </row>
    <row r="21" spans="1:49" ht="30" hidden="1" customHeight="1" x14ac:dyDescent="0.3">
      <c r="A21" s="17" t="s">
        <v>91</v>
      </c>
      <c r="B21" s="17" t="s">
        <v>101</v>
      </c>
      <c r="C21" s="17" t="s">
        <v>1311</v>
      </c>
      <c r="D21" s="41">
        <f>'산출조사서(소방전기)'!L73+'산출조사서(소방전기)'!L77+'산출조사서(소방전기)'!L83+'산출조사서(소방전기)'!L84+'산출조사서(소방전기)'!L91+'산출조사서(소방전기)'!L92+'산출조사서(소방전기)'!L99+'산출조사서(소방전기)'!L100+'산출조사서(소방전기)'!L101+'산출조사서(소방전기)'!L106</f>
        <v>87.327999999999989</v>
      </c>
      <c r="E21" s="16">
        <f>TRUNC(일위대가목록!E17,0)</f>
        <v>0</v>
      </c>
      <c r="F21" s="16">
        <f t="shared" si="0"/>
        <v>0</v>
      </c>
      <c r="G21" s="16">
        <f>TRUNC(일위대가목록!F17,0)</f>
        <v>0</v>
      </c>
      <c r="H21" s="16">
        <f t="shared" si="1"/>
        <v>0</v>
      </c>
      <c r="I21" s="16">
        <f>TRUNC(일위대가목록!G17,0)</f>
        <v>0</v>
      </c>
      <c r="J21" s="16">
        <f t="shared" si="2"/>
        <v>0</v>
      </c>
      <c r="K21" s="16">
        <f t="shared" si="3"/>
        <v>0</v>
      </c>
      <c r="L21" s="16">
        <f t="shared" si="3"/>
        <v>0</v>
      </c>
      <c r="M21" s="17" t="s">
        <v>102</v>
      </c>
      <c r="N21" s="2" t="s">
        <v>103</v>
      </c>
      <c r="O21" s="2" t="s">
        <v>51</v>
      </c>
      <c r="P21" s="2" t="s">
        <v>51</v>
      </c>
      <c r="Q21" s="2" t="s">
        <v>54</v>
      </c>
      <c r="R21" s="2" t="s">
        <v>60</v>
      </c>
      <c r="S21" s="2" t="s">
        <v>61</v>
      </c>
      <c r="T21" s="2" t="s">
        <v>61</v>
      </c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2" t="s">
        <v>51</v>
      </c>
      <c r="AS21" s="2" t="s">
        <v>51</v>
      </c>
      <c r="AT21" s="3"/>
      <c r="AU21" s="2" t="s">
        <v>104</v>
      </c>
      <c r="AV21" s="3">
        <v>20</v>
      </c>
      <c r="AW21" t="str">
        <f t="shared" si="4"/>
        <v>전선관지지대 28 C</v>
      </c>
    </row>
    <row r="22" spans="1:49" ht="30" hidden="1" customHeight="1" x14ac:dyDescent="0.3">
      <c r="A22" s="17" t="s">
        <v>105</v>
      </c>
      <c r="B22" s="17" t="s">
        <v>106</v>
      </c>
      <c r="C22" s="17" t="s">
        <v>107</v>
      </c>
      <c r="D22" s="41">
        <v>36</v>
      </c>
      <c r="E22" s="16">
        <f>TRUNC(일위대가목록!E8,0)</f>
        <v>0</v>
      </c>
      <c r="F22" s="16">
        <f t="shared" si="0"/>
        <v>0</v>
      </c>
      <c r="G22" s="16">
        <f>TRUNC(일위대가목록!F8,0)</f>
        <v>0</v>
      </c>
      <c r="H22" s="16">
        <f t="shared" si="1"/>
        <v>0</v>
      </c>
      <c r="I22" s="16">
        <f>TRUNC(일위대가목록!G8,0)</f>
        <v>0</v>
      </c>
      <c r="J22" s="16">
        <f t="shared" si="2"/>
        <v>0</v>
      </c>
      <c r="K22" s="16">
        <f t="shared" si="3"/>
        <v>0</v>
      </c>
      <c r="L22" s="16">
        <f t="shared" si="3"/>
        <v>0</v>
      </c>
      <c r="M22" s="17" t="s">
        <v>108</v>
      </c>
      <c r="N22" s="2" t="s">
        <v>109</v>
      </c>
      <c r="O22" s="2" t="s">
        <v>51</v>
      </c>
      <c r="P22" s="2" t="s">
        <v>51</v>
      </c>
      <c r="Q22" s="2" t="s">
        <v>54</v>
      </c>
      <c r="R22" s="2" t="s">
        <v>60</v>
      </c>
      <c r="S22" s="2" t="s">
        <v>61</v>
      </c>
      <c r="T22" s="2" t="s">
        <v>61</v>
      </c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2" t="s">
        <v>51</v>
      </c>
      <c r="AS22" s="2" t="s">
        <v>51</v>
      </c>
      <c r="AT22" s="3"/>
      <c r="AU22" s="2" t="s">
        <v>110</v>
      </c>
      <c r="AV22" s="3">
        <v>11</v>
      </c>
      <c r="AW22" t="str">
        <f t="shared" si="4"/>
        <v>잡철물설치(철제) 간단</v>
      </c>
    </row>
    <row r="23" spans="1:49" ht="30" hidden="1" customHeight="1" x14ac:dyDescent="0.3">
      <c r="A23" s="17" t="s">
        <v>111</v>
      </c>
      <c r="B23" s="17" t="s">
        <v>51</v>
      </c>
      <c r="C23" s="17" t="s">
        <v>112</v>
      </c>
      <c r="D23" s="41">
        <v>9.7200000000000006</v>
      </c>
      <c r="E23" s="16">
        <f>TRUNC(일위대가목록!E9,0)</f>
        <v>0</v>
      </c>
      <c r="F23" s="16">
        <f t="shared" si="0"/>
        <v>0</v>
      </c>
      <c r="G23" s="16">
        <f>TRUNC(일위대가목록!F9,0)</f>
        <v>0</v>
      </c>
      <c r="H23" s="16">
        <f t="shared" si="1"/>
        <v>0</v>
      </c>
      <c r="I23" s="16">
        <f>TRUNC(일위대가목록!G9,0)</f>
        <v>0</v>
      </c>
      <c r="J23" s="16">
        <f t="shared" si="2"/>
        <v>0</v>
      </c>
      <c r="K23" s="16">
        <f t="shared" si="3"/>
        <v>0</v>
      </c>
      <c r="L23" s="16">
        <f t="shared" si="3"/>
        <v>0</v>
      </c>
      <c r="M23" s="17" t="s">
        <v>113</v>
      </c>
      <c r="N23" s="2" t="s">
        <v>114</v>
      </c>
      <c r="O23" s="2" t="s">
        <v>51</v>
      </c>
      <c r="P23" s="2" t="s">
        <v>51</v>
      </c>
      <c r="Q23" s="2" t="s">
        <v>54</v>
      </c>
      <c r="R23" s="2" t="s">
        <v>60</v>
      </c>
      <c r="S23" s="2" t="s">
        <v>61</v>
      </c>
      <c r="T23" s="2" t="s">
        <v>61</v>
      </c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2" t="s">
        <v>51</v>
      </c>
      <c r="AS23" s="2" t="s">
        <v>51</v>
      </c>
      <c r="AT23" s="3"/>
      <c r="AU23" s="2" t="s">
        <v>115</v>
      </c>
      <c r="AV23" s="3">
        <v>12</v>
      </c>
      <c r="AW23" t="str">
        <f t="shared" si="4"/>
        <v xml:space="preserve">텍스 철거후 재설치 </v>
      </c>
    </row>
    <row r="24" spans="1:49" ht="30" hidden="1" customHeight="1" x14ac:dyDescent="0.3">
      <c r="A24" s="17" t="s">
        <v>116</v>
      </c>
      <c r="B24" s="17" t="s">
        <v>117</v>
      </c>
      <c r="C24" s="17" t="s">
        <v>93</v>
      </c>
      <c r="D24" s="41">
        <v>8</v>
      </c>
      <c r="E24" s="16">
        <f>TRUNC(일위대가목록!E10,0)</f>
        <v>0</v>
      </c>
      <c r="F24" s="16">
        <f t="shared" si="0"/>
        <v>0</v>
      </c>
      <c r="G24" s="16">
        <f>TRUNC(일위대가목록!F10,0)</f>
        <v>0</v>
      </c>
      <c r="H24" s="16">
        <f t="shared" si="1"/>
        <v>0</v>
      </c>
      <c r="I24" s="16">
        <f>TRUNC(일위대가목록!G10,0)</f>
        <v>0</v>
      </c>
      <c r="J24" s="16">
        <f t="shared" si="2"/>
        <v>0</v>
      </c>
      <c r="K24" s="16">
        <f t="shared" si="3"/>
        <v>0</v>
      </c>
      <c r="L24" s="16">
        <f t="shared" si="3"/>
        <v>0</v>
      </c>
      <c r="M24" s="17" t="s">
        <v>118</v>
      </c>
      <c r="N24" s="2" t="s">
        <v>119</v>
      </c>
      <c r="O24" s="2" t="s">
        <v>51</v>
      </c>
      <c r="P24" s="2" t="s">
        <v>51</v>
      </c>
      <c r="Q24" s="2" t="s">
        <v>54</v>
      </c>
      <c r="R24" s="2" t="s">
        <v>60</v>
      </c>
      <c r="S24" s="2" t="s">
        <v>61</v>
      </c>
      <c r="T24" s="2" t="s">
        <v>61</v>
      </c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2" t="s">
        <v>51</v>
      </c>
      <c r="AS24" s="2" t="s">
        <v>51</v>
      </c>
      <c r="AT24" s="3"/>
      <c r="AU24" s="2" t="s">
        <v>120</v>
      </c>
      <c r="AV24" s="3">
        <v>13</v>
      </c>
      <c r="AW24" t="str">
        <f t="shared" si="4"/>
        <v>배관용 구멍뚫기(코어드릴)-Con,c 두께 30cm 이하 ∮25mm, 벽</v>
      </c>
    </row>
    <row r="25" spans="1:49" ht="30" hidden="1" customHeight="1" x14ac:dyDescent="0.3">
      <c r="A25" s="17" t="s">
        <v>121</v>
      </c>
      <c r="B25" s="17" t="s">
        <v>51</v>
      </c>
      <c r="C25" s="17" t="s">
        <v>122</v>
      </c>
      <c r="D25" s="41">
        <v>1</v>
      </c>
      <c r="E25" s="16">
        <f>TRUNC(일위대가목록!E33,0)</f>
        <v>0</v>
      </c>
      <c r="F25" s="16">
        <f t="shared" si="0"/>
        <v>0</v>
      </c>
      <c r="G25" s="16">
        <f>TRUNC(일위대가목록!F33,0)</f>
        <v>0</v>
      </c>
      <c r="H25" s="16">
        <f t="shared" si="1"/>
        <v>0</v>
      </c>
      <c r="I25" s="16">
        <f>TRUNC(일위대가목록!G33,0)</f>
        <v>0</v>
      </c>
      <c r="J25" s="16">
        <f t="shared" si="2"/>
        <v>0</v>
      </c>
      <c r="K25" s="16">
        <f t="shared" si="3"/>
        <v>0</v>
      </c>
      <c r="L25" s="16">
        <f t="shared" si="3"/>
        <v>0</v>
      </c>
      <c r="M25" s="17" t="s">
        <v>123</v>
      </c>
      <c r="N25" s="2" t="s">
        <v>124</v>
      </c>
      <c r="O25" s="2" t="s">
        <v>51</v>
      </c>
      <c r="P25" s="2" t="s">
        <v>51</v>
      </c>
      <c r="Q25" s="2" t="s">
        <v>54</v>
      </c>
      <c r="R25" s="2" t="s">
        <v>60</v>
      </c>
      <c r="S25" s="2" t="s">
        <v>61</v>
      </c>
      <c r="T25" s="2" t="s">
        <v>61</v>
      </c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2" t="s">
        <v>51</v>
      </c>
      <c r="AS25" s="2" t="s">
        <v>51</v>
      </c>
      <c r="AT25" s="3"/>
      <c r="AU25" s="2" t="s">
        <v>125</v>
      </c>
      <c r="AV25" s="3">
        <v>34</v>
      </c>
      <c r="AW25" t="str">
        <f t="shared" si="4"/>
        <v xml:space="preserve">가스수신반 </v>
      </c>
    </row>
    <row r="26" spans="1:49" ht="30" hidden="1" customHeight="1" x14ac:dyDescent="0.3">
      <c r="A26" s="17" t="s">
        <v>126</v>
      </c>
      <c r="B26" s="17" t="s">
        <v>127</v>
      </c>
      <c r="C26" s="17" t="s">
        <v>122</v>
      </c>
      <c r="D26" s="41">
        <v>1</v>
      </c>
      <c r="E26" s="16">
        <f>TRUNC(일위대가목록!E35,0)</f>
        <v>0</v>
      </c>
      <c r="F26" s="16">
        <f t="shared" si="0"/>
        <v>0</v>
      </c>
      <c r="G26" s="16">
        <f>TRUNC(일위대가목록!F35,0)</f>
        <v>0</v>
      </c>
      <c r="H26" s="16">
        <f t="shared" si="1"/>
        <v>0</v>
      </c>
      <c r="I26" s="16">
        <f>TRUNC(일위대가목록!G35,0)</f>
        <v>0</v>
      </c>
      <c r="J26" s="16">
        <f t="shared" si="2"/>
        <v>0</v>
      </c>
      <c r="K26" s="16">
        <f t="shared" si="3"/>
        <v>0</v>
      </c>
      <c r="L26" s="16">
        <f t="shared" si="3"/>
        <v>0</v>
      </c>
      <c r="M26" s="17" t="s">
        <v>128</v>
      </c>
      <c r="N26" s="2" t="s">
        <v>129</v>
      </c>
      <c r="O26" s="2" t="s">
        <v>51</v>
      </c>
      <c r="P26" s="2" t="s">
        <v>51</v>
      </c>
      <c r="Q26" s="2" t="s">
        <v>54</v>
      </c>
      <c r="R26" s="2" t="s">
        <v>60</v>
      </c>
      <c r="S26" s="2" t="s">
        <v>61</v>
      </c>
      <c r="T26" s="2" t="s">
        <v>61</v>
      </c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2" t="s">
        <v>51</v>
      </c>
      <c r="AS26" s="2" t="s">
        <v>51</v>
      </c>
      <c r="AT26" s="3"/>
      <c r="AU26" s="2" t="s">
        <v>130</v>
      </c>
      <c r="AV26" s="3">
        <v>36</v>
      </c>
      <c r="AW26" t="str">
        <f t="shared" si="4"/>
        <v>전원반 자동폐쇄장치전원반, 15A</v>
      </c>
    </row>
    <row r="27" spans="1:49" ht="30" hidden="1" customHeight="1" x14ac:dyDescent="0.3">
      <c r="A27" s="17" t="s">
        <v>131</v>
      </c>
      <c r="B27" s="17" t="s">
        <v>51</v>
      </c>
      <c r="C27" s="17" t="s">
        <v>132</v>
      </c>
      <c r="D27" s="41">
        <v>1</v>
      </c>
      <c r="E27" s="16">
        <f>TRUNC(일위대가목록!E21,0)</f>
        <v>0</v>
      </c>
      <c r="F27" s="16">
        <f t="shared" si="0"/>
        <v>0</v>
      </c>
      <c r="G27" s="16">
        <f>TRUNC(일위대가목록!F21,0)</f>
        <v>0</v>
      </c>
      <c r="H27" s="16">
        <f t="shared" si="1"/>
        <v>0</v>
      </c>
      <c r="I27" s="16">
        <f>TRUNC(일위대가목록!G21,0)</f>
        <v>0</v>
      </c>
      <c r="J27" s="16">
        <f t="shared" si="2"/>
        <v>0</v>
      </c>
      <c r="K27" s="16">
        <f t="shared" si="3"/>
        <v>0</v>
      </c>
      <c r="L27" s="16">
        <f t="shared" si="3"/>
        <v>0</v>
      </c>
      <c r="M27" s="17" t="s">
        <v>133</v>
      </c>
      <c r="N27" s="2" t="s">
        <v>134</v>
      </c>
      <c r="O27" s="2" t="s">
        <v>51</v>
      </c>
      <c r="P27" s="2" t="s">
        <v>51</v>
      </c>
      <c r="Q27" s="2" t="s">
        <v>54</v>
      </c>
      <c r="R27" s="2" t="s">
        <v>60</v>
      </c>
      <c r="S27" s="2" t="s">
        <v>61</v>
      </c>
      <c r="T27" s="2" t="s">
        <v>61</v>
      </c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2" t="s">
        <v>51</v>
      </c>
      <c r="AS27" s="2" t="s">
        <v>51</v>
      </c>
      <c r="AT27" s="3"/>
      <c r="AU27" s="2" t="s">
        <v>135</v>
      </c>
      <c r="AV27" s="3">
        <v>24</v>
      </c>
      <c r="AW27" t="str">
        <f t="shared" si="4"/>
        <v xml:space="preserve">경종 설치 </v>
      </c>
    </row>
    <row r="28" spans="1:49" ht="30" hidden="1" customHeight="1" x14ac:dyDescent="0.3">
      <c r="A28" s="17" t="s">
        <v>136</v>
      </c>
      <c r="B28" s="17" t="s">
        <v>137</v>
      </c>
      <c r="C28" s="17" t="s">
        <v>132</v>
      </c>
      <c r="D28" s="41">
        <v>10</v>
      </c>
      <c r="E28" s="16">
        <f>TRUNC(일위대가목록!E22,0)</f>
        <v>0</v>
      </c>
      <c r="F28" s="16">
        <f t="shared" si="0"/>
        <v>0</v>
      </c>
      <c r="G28" s="16">
        <f>TRUNC(일위대가목록!F22,0)</f>
        <v>0</v>
      </c>
      <c r="H28" s="16">
        <f t="shared" si="1"/>
        <v>0</v>
      </c>
      <c r="I28" s="16">
        <f>TRUNC(일위대가목록!G22,0)</f>
        <v>0</v>
      </c>
      <c r="J28" s="16">
        <f t="shared" si="2"/>
        <v>0</v>
      </c>
      <c r="K28" s="16">
        <f t="shared" si="3"/>
        <v>0</v>
      </c>
      <c r="L28" s="16">
        <f t="shared" si="3"/>
        <v>0</v>
      </c>
      <c r="M28" s="17" t="s">
        <v>138</v>
      </c>
      <c r="N28" s="2" t="s">
        <v>139</v>
      </c>
      <c r="O28" s="2" t="s">
        <v>51</v>
      </c>
      <c r="P28" s="2" t="s">
        <v>51</v>
      </c>
      <c r="Q28" s="2" t="s">
        <v>54</v>
      </c>
      <c r="R28" s="2" t="s">
        <v>60</v>
      </c>
      <c r="S28" s="2" t="s">
        <v>61</v>
      </c>
      <c r="T28" s="2" t="s">
        <v>61</v>
      </c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2" t="s">
        <v>51</v>
      </c>
      <c r="AS28" s="2" t="s">
        <v>51</v>
      </c>
      <c r="AT28" s="3"/>
      <c r="AU28" s="2" t="s">
        <v>140</v>
      </c>
      <c r="AV28" s="3">
        <v>25</v>
      </c>
      <c r="AW28" t="str">
        <f t="shared" si="4"/>
        <v>화재감지기 열감지기,차동식스포트형</v>
      </c>
    </row>
    <row r="29" spans="1:49" ht="30" hidden="1" customHeight="1" x14ac:dyDescent="0.3">
      <c r="A29" s="17" t="s">
        <v>136</v>
      </c>
      <c r="B29" s="17" t="s">
        <v>141</v>
      </c>
      <c r="C29" s="17" t="s">
        <v>132</v>
      </c>
      <c r="D29" s="41">
        <v>10</v>
      </c>
      <c r="E29" s="16">
        <f>TRUNC(일위대가목록!E25,0)</f>
        <v>0</v>
      </c>
      <c r="F29" s="16">
        <f t="shared" si="0"/>
        <v>0</v>
      </c>
      <c r="G29" s="16">
        <f>TRUNC(일위대가목록!F25,0)</f>
        <v>0</v>
      </c>
      <c r="H29" s="16">
        <f t="shared" si="1"/>
        <v>0</v>
      </c>
      <c r="I29" s="16">
        <f>TRUNC(일위대가목록!G25,0)</f>
        <v>0</v>
      </c>
      <c r="J29" s="16">
        <f t="shared" si="2"/>
        <v>0</v>
      </c>
      <c r="K29" s="16">
        <f t="shared" si="3"/>
        <v>0</v>
      </c>
      <c r="L29" s="16">
        <f t="shared" si="3"/>
        <v>0</v>
      </c>
      <c r="M29" s="17" t="s">
        <v>142</v>
      </c>
      <c r="N29" s="2" t="s">
        <v>143</v>
      </c>
      <c r="O29" s="2" t="s">
        <v>51</v>
      </c>
      <c r="P29" s="2" t="s">
        <v>51</v>
      </c>
      <c r="Q29" s="2" t="s">
        <v>54</v>
      </c>
      <c r="R29" s="2" t="s">
        <v>60</v>
      </c>
      <c r="S29" s="2" t="s">
        <v>61</v>
      </c>
      <c r="T29" s="2" t="s">
        <v>61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51</v>
      </c>
      <c r="AS29" s="2" t="s">
        <v>51</v>
      </c>
      <c r="AT29" s="3"/>
      <c r="AU29" s="2" t="s">
        <v>144</v>
      </c>
      <c r="AV29" s="3">
        <v>26</v>
      </c>
      <c r="AW29" t="str">
        <f t="shared" si="4"/>
        <v>화재감지기 연기감지기,광전식2종-비축적</v>
      </c>
    </row>
    <row r="30" spans="1:49" ht="30" hidden="1" customHeight="1" x14ac:dyDescent="0.3">
      <c r="A30" s="17" t="s">
        <v>145</v>
      </c>
      <c r="B30" s="17" t="s">
        <v>146</v>
      </c>
      <c r="C30" s="17" t="s">
        <v>132</v>
      </c>
      <c r="D30" s="41">
        <v>6</v>
      </c>
      <c r="E30" s="16">
        <f>TRUNC(일위대가목록!E28,0)</f>
        <v>0</v>
      </c>
      <c r="F30" s="16">
        <f t="shared" si="0"/>
        <v>0</v>
      </c>
      <c r="G30" s="16">
        <f>TRUNC(일위대가목록!F28,0)</f>
        <v>0</v>
      </c>
      <c r="H30" s="16">
        <f t="shared" si="1"/>
        <v>0</v>
      </c>
      <c r="I30" s="16">
        <f>TRUNC(일위대가목록!G28,0)</f>
        <v>0</v>
      </c>
      <c r="J30" s="16">
        <f t="shared" si="2"/>
        <v>0</v>
      </c>
      <c r="K30" s="16">
        <f t="shared" si="3"/>
        <v>0</v>
      </c>
      <c r="L30" s="16">
        <f t="shared" si="3"/>
        <v>0</v>
      </c>
      <c r="M30" s="17" t="s">
        <v>147</v>
      </c>
      <c r="N30" s="2" t="s">
        <v>148</v>
      </c>
      <c r="O30" s="2" t="s">
        <v>51</v>
      </c>
      <c r="P30" s="2" t="s">
        <v>51</v>
      </c>
      <c r="Q30" s="2" t="s">
        <v>54</v>
      </c>
      <c r="R30" s="2" t="s">
        <v>60</v>
      </c>
      <c r="S30" s="2" t="s">
        <v>61</v>
      </c>
      <c r="T30" s="2" t="s">
        <v>61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51</v>
      </c>
      <c r="AS30" s="2" t="s">
        <v>51</v>
      </c>
      <c r="AT30" s="3"/>
      <c r="AU30" s="2" t="s">
        <v>149</v>
      </c>
      <c r="AV30" s="3">
        <v>29</v>
      </c>
      <c r="AW30" t="str">
        <f t="shared" si="4"/>
        <v>전자사이렌 설치 DC 24V</v>
      </c>
    </row>
    <row r="31" spans="1:49" ht="30" hidden="1" customHeight="1" x14ac:dyDescent="0.3">
      <c r="A31" s="17" t="s">
        <v>150</v>
      </c>
      <c r="B31" s="17" t="s">
        <v>151</v>
      </c>
      <c r="C31" s="17" t="s">
        <v>132</v>
      </c>
      <c r="D31" s="41">
        <v>2</v>
      </c>
      <c r="E31" s="16">
        <f>TRUNC(일위대가목록!E29,0)</f>
        <v>0</v>
      </c>
      <c r="F31" s="16">
        <f t="shared" si="0"/>
        <v>0</v>
      </c>
      <c r="G31" s="16">
        <f>TRUNC(일위대가목록!F29,0)</f>
        <v>0</v>
      </c>
      <c r="H31" s="16">
        <f t="shared" si="1"/>
        <v>0</v>
      </c>
      <c r="I31" s="16">
        <f>TRUNC(일위대가목록!G29,0)</f>
        <v>0</v>
      </c>
      <c r="J31" s="16">
        <f t="shared" si="2"/>
        <v>0</v>
      </c>
      <c r="K31" s="16">
        <f t="shared" si="3"/>
        <v>0</v>
      </c>
      <c r="L31" s="16">
        <f t="shared" si="3"/>
        <v>0</v>
      </c>
      <c r="M31" s="17" t="s">
        <v>152</v>
      </c>
      <c r="N31" s="2" t="s">
        <v>153</v>
      </c>
      <c r="O31" s="2" t="s">
        <v>51</v>
      </c>
      <c r="P31" s="2" t="s">
        <v>51</v>
      </c>
      <c r="Q31" s="2" t="s">
        <v>54</v>
      </c>
      <c r="R31" s="2" t="s">
        <v>60</v>
      </c>
      <c r="S31" s="2" t="s">
        <v>61</v>
      </c>
      <c r="T31" s="2" t="s">
        <v>61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51</v>
      </c>
      <c r="AS31" s="2" t="s">
        <v>51</v>
      </c>
      <c r="AT31" s="3"/>
      <c r="AU31" s="2" t="s">
        <v>154</v>
      </c>
      <c r="AV31" s="3">
        <v>30</v>
      </c>
      <c r="AW31" t="str">
        <f t="shared" si="4"/>
        <v>자동폐쇄장치-창문형 DC-24V</v>
      </c>
    </row>
    <row r="32" spans="1:49" ht="30" hidden="1" customHeight="1" x14ac:dyDescent="0.3">
      <c r="A32" s="17" t="s">
        <v>155</v>
      </c>
      <c r="B32" s="17" t="s">
        <v>151</v>
      </c>
      <c r="C32" s="17" t="s">
        <v>132</v>
      </c>
      <c r="D32" s="41">
        <v>10</v>
      </c>
      <c r="E32" s="16">
        <f>TRUNC(일위대가목록!E30,0)</f>
        <v>0</v>
      </c>
      <c r="F32" s="16">
        <f t="shared" si="0"/>
        <v>0</v>
      </c>
      <c r="G32" s="16">
        <f>TRUNC(일위대가목록!F30,0)</f>
        <v>0</v>
      </c>
      <c r="H32" s="16">
        <f t="shared" si="1"/>
        <v>0</v>
      </c>
      <c r="I32" s="16">
        <f>TRUNC(일위대가목록!G30,0)</f>
        <v>0</v>
      </c>
      <c r="J32" s="16">
        <f t="shared" si="2"/>
        <v>0</v>
      </c>
      <c r="K32" s="16">
        <f t="shared" si="3"/>
        <v>0</v>
      </c>
      <c r="L32" s="16">
        <f t="shared" si="3"/>
        <v>0</v>
      </c>
      <c r="M32" s="17" t="s">
        <v>156</v>
      </c>
      <c r="N32" s="2" t="s">
        <v>157</v>
      </c>
      <c r="O32" s="2" t="s">
        <v>51</v>
      </c>
      <c r="P32" s="2" t="s">
        <v>51</v>
      </c>
      <c r="Q32" s="2" t="s">
        <v>54</v>
      </c>
      <c r="R32" s="2" t="s">
        <v>60</v>
      </c>
      <c r="S32" s="2" t="s">
        <v>61</v>
      </c>
      <c r="T32" s="2" t="s">
        <v>61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51</v>
      </c>
      <c r="AS32" s="2" t="s">
        <v>51</v>
      </c>
      <c r="AT32" s="3"/>
      <c r="AU32" s="2" t="s">
        <v>158</v>
      </c>
      <c r="AV32" s="3">
        <v>31</v>
      </c>
      <c r="AW32" t="str">
        <f t="shared" si="4"/>
        <v>자동폐쇄장치-방화문 DC-24V</v>
      </c>
    </row>
    <row r="33" spans="1:49" ht="30" hidden="1" customHeight="1" x14ac:dyDescent="0.3">
      <c r="A33" s="17" t="s">
        <v>159</v>
      </c>
      <c r="B33" s="17" t="s">
        <v>160</v>
      </c>
      <c r="C33" s="17" t="s">
        <v>122</v>
      </c>
      <c r="D33" s="41">
        <v>1</v>
      </c>
      <c r="E33" s="16">
        <f>TRUNC(일위대가목록!E31,0)</f>
        <v>0</v>
      </c>
      <c r="F33" s="16">
        <f t="shared" si="0"/>
        <v>0</v>
      </c>
      <c r="G33" s="16">
        <f>TRUNC(일위대가목록!F31,0)</f>
        <v>0</v>
      </c>
      <c r="H33" s="16">
        <f t="shared" si="1"/>
        <v>0</v>
      </c>
      <c r="I33" s="16">
        <f>TRUNC(일위대가목록!G31,0)</f>
        <v>0</v>
      </c>
      <c r="J33" s="16">
        <f t="shared" si="2"/>
        <v>0</v>
      </c>
      <c r="K33" s="16">
        <f t="shared" si="3"/>
        <v>0</v>
      </c>
      <c r="L33" s="16">
        <f t="shared" si="3"/>
        <v>0</v>
      </c>
      <c r="M33" s="17" t="s">
        <v>161</v>
      </c>
      <c r="N33" s="2" t="s">
        <v>162</v>
      </c>
      <c r="O33" s="2" t="s">
        <v>51</v>
      </c>
      <c r="P33" s="2" t="s">
        <v>51</v>
      </c>
      <c r="Q33" s="2" t="s">
        <v>54</v>
      </c>
      <c r="R33" s="2" t="s">
        <v>60</v>
      </c>
      <c r="S33" s="2" t="s">
        <v>61</v>
      </c>
      <c r="T33" s="2" t="s">
        <v>61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51</v>
      </c>
      <c r="AS33" s="2" t="s">
        <v>51</v>
      </c>
      <c r="AT33" s="3"/>
      <c r="AU33" s="2" t="s">
        <v>163</v>
      </c>
      <c r="AV33" s="3">
        <v>32</v>
      </c>
      <c r="AW33" t="str">
        <f t="shared" si="4"/>
        <v>경비실 부수신기 재결선 지하층 2구역 철거 및 지하수신기 1구역 연동</v>
      </c>
    </row>
    <row r="34" spans="1:49" ht="30" hidden="1" customHeight="1" x14ac:dyDescent="0.3">
      <c r="A34" s="17" t="s">
        <v>164</v>
      </c>
      <c r="B34" s="17" t="s">
        <v>160</v>
      </c>
      <c r="C34" s="17" t="s">
        <v>122</v>
      </c>
      <c r="D34" s="41">
        <v>1</v>
      </c>
      <c r="E34" s="16">
        <f>TRUNC(일위대가목록!E32,0)</f>
        <v>0</v>
      </c>
      <c r="F34" s="16">
        <f t="shared" si="0"/>
        <v>0</v>
      </c>
      <c r="G34" s="16">
        <f>TRUNC(일위대가목록!F32,0)</f>
        <v>0</v>
      </c>
      <c r="H34" s="16">
        <f t="shared" si="1"/>
        <v>0</v>
      </c>
      <c r="I34" s="16">
        <f>TRUNC(일위대가목록!G32,0)</f>
        <v>0</v>
      </c>
      <c r="J34" s="16">
        <f t="shared" si="2"/>
        <v>0</v>
      </c>
      <c r="K34" s="16">
        <f t="shared" si="3"/>
        <v>0</v>
      </c>
      <c r="L34" s="16">
        <f t="shared" si="3"/>
        <v>0</v>
      </c>
      <c r="M34" s="17" t="s">
        <v>165</v>
      </c>
      <c r="N34" s="2" t="s">
        <v>166</v>
      </c>
      <c r="O34" s="2" t="s">
        <v>51</v>
      </c>
      <c r="P34" s="2" t="s">
        <v>51</v>
      </c>
      <c r="Q34" s="2" t="s">
        <v>54</v>
      </c>
      <c r="R34" s="2" t="s">
        <v>60</v>
      </c>
      <c r="S34" s="2" t="s">
        <v>61</v>
      </c>
      <c r="T34" s="2" t="s">
        <v>61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51</v>
      </c>
      <c r="AS34" s="2" t="s">
        <v>51</v>
      </c>
      <c r="AT34" s="3"/>
      <c r="AU34" s="2" t="s">
        <v>167</v>
      </c>
      <c r="AV34" s="3">
        <v>33</v>
      </c>
      <c r="AW34" t="str">
        <f t="shared" si="4"/>
        <v>통제실 메인수신기 재결선 지하층 2구역 철거 및 지하수신기 1구역 연동</v>
      </c>
    </row>
    <row r="35" spans="1:49" ht="30" hidden="1" customHeight="1" x14ac:dyDescent="0.3">
      <c r="A35" s="17" t="s">
        <v>168</v>
      </c>
      <c r="B35" s="17" t="s">
        <v>169</v>
      </c>
      <c r="C35" s="17" t="s">
        <v>93</v>
      </c>
      <c r="D35" s="41">
        <f>'산출조사서(소방전기)'!L32</f>
        <v>16</v>
      </c>
      <c r="E35" s="16">
        <f>TRUNC(일위대가목록!E34,0)</f>
        <v>0</v>
      </c>
      <c r="F35" s="16">
        <f t="shared" si="0"/>
        <v>0</v>
      </c>
      <c r="G35" s="16">
        <f>TRUNC(일위대가목록!F34,0)</f>
        <v>0</v>
      </c>
      <c r="H35" s="16">
        <f t="shared" si="1"/>
        <v>0</v>
      </c>
      <c r="I35" s="16">
        <f>TRUNC(일위대가목록!G34,0)</f>
        <v>0</v>
      </c>
      <c r="J35" s="16">
        <f t="shared" si="2"/>
        <v>0</v>
      </c>
      <c r="K35" s="16">
        <f t="shared" si="3"/>
        <v>0</v>
      </c>
      <c r="L35" s="16">
        <f t="shared" si="3"/>
        <v>0</v>
      </c>
      <c r="M35" s="17" t="s">
        <v>170</v>
      </c>
      <c r="N35" s="2" t="s">
        <v>171</v>
      </c>
      <c r="O35" s="2" t="s">
        <v>51</v>
      </c>
      <c r="P35" s="2" t="s">
        <v>51</v>
      </c>
      <c r="Q35" s="2" t="s">
        <v>54</v>
      </c>
      <c r="R35" s="2" t="s">
        <v>60</v>
      </c>
      <c r="S35" s="2" t="s">
        <v>61</v>
      </c>
      <c r="T35" s="2" t="s">
        <v>61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2" t="s">
        <v>51</v>
      </c>
      <c r="AS35" s="2" t="s">
        <v>51</v>
      </c>
      <c r="AT35" s="3"/>
      <c r="AU35" s="2" t="s">
        <v>172</v>
      </c>
      <c r="AV35" s="3">
        <v>35</v>
      </c>
      <c r="AW35" t="str">
        <f t="shared" si="4"/>
        <v>걸이시설설치 생명줄포함</v>
      </c>
    </row>
    <row r="36" spans="1:49" ht="30" hidden="1" customHeight="1" x14ac:dyDescent="0.3">
      <c r="A36" s="17" t="s">
        <v>173</v>
      </c>
      <c r="B36" s="17" t="s">
        <v>51</v>
      </c>
      <c r="C36" s="17" t="s">
        <v>132</v>
      </c>
      <c r="D36" s="41">
        <v>20</v>
      </c>
      <c r="E36" s="16">
        <f>TRUNC(일위대가목록!E26,0)</f>
        <v>0</v>
      </c>
      <c r="F36" s="16">
        <f t="shared" si="0"/>
        <v>0</v>
      </c>
      <c r="G36" s="16">
        <f>TRUNC(일위대가목록!F26,0)</f>
        <v>0</v>
      </c>
      <c r="H36" s="16">
        <f t="shared" si="1"/>
        <v>0</v>
      </c>
      <c r="I36" s="16">
        <f>TRUNC(일위대가목록!G26,0)</f>
        <v>0</v>
      </c>
      <c r="J36" s="16">
        <f t="shared" si="2"/>
        <v>0</v>
      </c>
      <c r="K36" s="16">
        <f t="shared" si="3"/>
        <v>0</v>
      </c>
      <c r="L36" s="16">
        <f t="shared" si="3"/>
        <v>0</v>
      </c>
      <c r="M36" s="17" t="s">
        <v>174</v>
      </c>
      <c r="N36" s="2" t="s">
        <v>175</v>
      </c>
      <c r="O36" s="2" t="s">
        <v>51</v>
      </c>
      <c r="P36" s="2" t="s">
        <v>51</v>
      </c>
      <c r="Q36" s="2" t="s">
        <v>54</v>
      </c>
      <c r="R36" s="2" t="s">
        <v>60</v>
      </c>
      <c r="S36" s="2" t="s">
        <v>61</v>
      </c>
      <c r="T36" s="2" t="s">
        <v>61</v>
      </c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2" t="s">
        <v>51</v>
      </c>
      <c r="AS36" s="2" t="s">
        <v>51</v>
      </c>
      <c r="AT36" s="3"/>
      <c r="AU36" s="2" t="s">
        <v>176</v>
      </c>
      <c r="AV36" s="3">
        <v>27</v>
      </c>
      <c r="AW36" t="str">
        <f t="shared" si="4"/>
        <v xml:space="preserve">화재감지기 - 철거 </v>
      </c>
    </row>
    <row r="37" spans="1:49" ht="30" hidden="1" customHeight="1" x14ac:dyDescent="0.3">
      <c r="A37" s="17" t="s">
        <v>177</v>
      </c>
      <c r="B37" s="17" t="s">
        <v>51</v>
      </c>
      <c r="C37" s="17" t="s">
        <v>74</v>
      </c>
      <c r="D37" s="41">
        <v>6</v>
      </c>
      <c r="E37" s="16">
        <f>TRUNC(일위대가목록!E27,0)</f>
        <v>0</v>
      </c>
      <c r="F37" s="16">
        <f t="shared" si="0"/>
        <v>0</v>
      </c>
      <c r="G37" s="16">
        <f>TRUNC(일위대가목록!F27,0)</f>
        <v>0</v>
      </c>
      <c r="H37" s="16">
        <f t="shared" si="1"/>
        <v>0</v>
      </c>
      <c r="I37" s="16">
        <f>TRUNC(일위대가목록!G27,0)</f>
        <v>0</v>
      </c>
      <c r="J37" s="16">
        <f t="shared" si="2"/>
        <v>0</v>
      </c>
      <c r="K37" s="16">
        <f t="shared" si="3"/>
        <v>0</v>
      </c>
      <c r="L37" s="16">
        <f t="shared" si="3"/>
        <v>0</v>
      </c>
      <c r="M37" s="17" t="s">
        <v>178</v>
      </c>
      <c r="N37" s="2" t="s">
        <v>179</v>
      </c>
      <c r="O37" s="2" t="s">
        <v>51</v>
      </c>
      <c r="P37" s="2" t="s">
        <v>51</v>
      </c>
      <c r="Q37" s="2" t="s">
        <v>54</v>
      </c>
      <c r="R37" s="2" t="s">
        <v>60</v>
      </c>
      <c r="S37" s="2" t="s">
        <v>61</v>
      </c>
      <c r="T37" s="2" t="s">
        <v>61</v>
      </c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2" t="s">
        <v>51</v>
      </c>
      <c r="AS37" s="2" t="s">
        <v>51</v>
      </c>
      <c r="AT37" s="3"/>
      <c r="AU37" s="2" t="s">
        <v>180</v>
      </c>
      <c r="AV37" s="3">
        <v>28</v>
      </c>
      <c r="AW37" t="str">
        <f t="shared" si="4"/>
        <v xml:space="preserve">전자싸이렌 - 철거 </v>
      </c>
    </row>
    <row r="38" spans="1:49" ht="30" hidden="1" customHeight="1" x14ac:dyDescent="0.3">
      <c r="A38" s="17" t="s">
        <v>181</v>
      </c>
      <c r="B38" s="17" t="s">
        <v>182</v>
      </c>
      <c r="C38" s="17" t="s">
        <v>122</v>
      </c>
      <c r="D38" s="41">
        <v>6</v>
      </c>
      <c r="E38" s="16">
        <f>TRUNC(일위대가목록!E37,0)</f>
        <v>0</v>
      </c>
      <c r="F38" s="16">
        <f t="shared" si="0"/>
        <v>0</v>
      </c>
      <c r="G38" s="16">
        <f>TRUNC(일위대가목록!F37,0)</f>
        <v>0</v>
      </c>
      <c r="H38" s="16">
        <f t="shared" si="1"/>
        <v>0</v>
      </c>
      <c r="I38" s="16">
        <f>TRUNC(일위대가목록!G37,0)</f>
        <v>0</v>
      </c>
      <c r="J38" s="16">
        <f t="shared" si="2"/>
        <v>0</v>
      </c>
      <c r="K38" s="16">
        <f t="shared" si="3"/>
        <v>0</v>
      </c>
      <c r="L38" s="16">
        <f t="shared" si="3"/>
        <v>0</v>
      </c>
      <c r="M38" s="17" t="s">
        <v>183</v>
      </c>
      <c r="N38" s="2" t="s">
        <v>184</v>
      </c>
      <c r="O38" s="2" t="s">
        <v>51</v>
      </c>
      <c r="P38" s="2" t="s">
        <v>51</v>
      </c>
      <c r="Q38" s="2" t="s">
        <v>54</v>
      </c>
      <c r="R38" s="2" t="s">
        <v>60</v>
      </c>
      <c r="S38" s="2" t="s">
        <v>61</v>
      </c>
      <c r="T38" s="2" t="s">
        <v>61</v>
      </c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2" t="s">
        <v>51</v>
      </c>
      <c r="AS38" s="2" t="s">
        <v>51</v>
      </c>
      <c r="AT38" s="3"/>
      <c r="AU38" s="2" t="s">
        <v>185</v>
      </c>
      <c r="AV38" s="3">
        <v>37</v>
      </c>
      <c r="AW38" t="str">
        <f t="shared" si="4"/>
        <v>아우트렛박스 중형4각 54㎜</v>
      </c>
    </row>
    <row r="39" spans="1:49" ht="30" hidden="1" customHeight="1" x14ac:dyDescent="0.3">
      <c r="A39" s="17" t="s">
        <v>186</v>
      </c>
      <c r="B39" s="17" t="s">
        <v>51</v>
      </c>
      <c r="C39" s="17" t="s">
        <v>187</v>
      </c>
      <c r="D39" s="41">
        <v>4</v>
      </c>
      <c r="E39" s="16">
        <f>TRUNC(일위대가목록!E23,0)</f>
        <v>0</v>
      </c>
      <c r="F39" s="16">
        <f t="shared" si="0"/>
        <v>0</v>
      </c>
      <c r="G39" s="16">
        <f>TRUNC(일위대가목록!F23,0)</f>
        <v>0</v>
      </c>
      <c r="H39" s="16">
        <f t="shared" si="1"/>
        <v>0</v>
      </c>
      <c r="I39" s="16">
        <f>TRUNC(일위대가목록!G23,0)</f>
        <v>0</v>
      </c>
      <c r="J39" s="16">
        <f t="shared" si="2"/>
        <v>0</v>
      </c>
      <c r="K39" s="16">
        <f t="shared" si="3"/>
        <v>0</v>
      </c>
      <c r="L39" s="16">
        <f t="shared" si="3"/>
        <v>0</v>
      </c>
      <c r="M39" s="17" t="s">
        <v>188</v>
      </c>
      <c r="N39" s="2" t="s">
        <v>189</v>
      </c>
      <c r="O39" s="2" t="s">
        <v>51</v>
      </c>
      <c r="P39" s="2" t="s">
        <v>51</v>
      </c>
      <c r="Q39" s="2" t="s">
        <v>54</v>
      </c>
      <c r="R39" s="2" t="s">
        <v>60</v>
      </c>
      <c r="S39" s="2" t="s">
        <v>61</v>
      </c>
      <c r="T39" s="2" t="s">
        <v>61</v>
      </c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2" t="s">
        <v>51</v>
      </c>
      <c r="AS39" s="2" t="s">
        <v>51</v>
      </c>
      <c r="AT39" s="3"/>
      <c r="AU39" s="2" t="s">
        <v>190</v>
      </c>
      <c r="AV39" s="3">
        <v>4</v>
      </c>
      <c r="AW39" t="str">
        <f t="shared" si="4"/>
        <v xml:space="preserve">덕트관통부채움 </v>
      </c>
    </row>
    <row r="40" spans="1:49" ht="30" hidden="1" customHeight="1" x14ac:dyDescent="0.3">
      <c r="A40" s="17" t="s">
        <v>191</v>
      </c>
      <c r="B40" s="17" t="s">
        <v>51</v>
      </c>
      <c r="C40" s="17" t="s">
        <v>187</v>
      </c>
      <c r="D40" s="41">
        <v>1</v>
      </c>
      <c r="E40" s="16">
        <f>TRUNC(일위대가목록!E24,0)</f>
        <v>0</v>
      </c>
      <c r="F40" s="16">
        <f t="shared" si="0"/>
        <v>0</v>
      </c>
      <c r="G40" s="16">
        <f>TRUNC(일위대가목록!F24,0)</f>
        <v>0</v>
      </c>
      <c r="H40" s="16">
        <f t="shared" si="1"/>
        <v>0</v>
      </c>
      <c r="I40" s="16">
        <f>TRUNC(일위대가목록!G24,0)</f>
        <v>0</v>
      </c>
      <c r="J40" s="16">
        <f t="shared" si="2"/>
        <v>0</v>
      </c>
      <c r="K40" s="16">
        <f t="shared" si="3"/>
        <v>0</v>
      </c>
      <c r="L40" s="16">
        <f t="shared" si="3"/>
        <v>0</v>
      </c>
      <c r="M40" s="17" t="s">
        <v>192</v>
      </c>
      <c r="N40" s="2" t="s">
        <v>193</v>
      </c>
      <c r="O40" s="2" t="s">
        <v>51</v>
      </c>
      <c r="P40" s="2" t="s">
        <v>51</v>
      </c>
      <c r="Q40" s="2" t="s">
        <v>54</v>
      </c>
      <c r="R40" s="2" t="s">
        <v>60</v>
      </c>
      <c r="S40" s="2" t="s">
        <v>61</v>
      </c>
      <c r="T40" s="2" t="s">
        <v>61</v>
      </c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2" t="s">
        <v>51</v>
      </c>
      <c r="AS40" s="2" t="s">
        <v>51</v>
      </c>
      <c r="AT40" s="3"/>
      <c r="AU40" s="2" t="s">
        <v>194</v>
      </c>
      <c r="AV40" s="3">
        <v>5</v>
      </c>
      <c r="AW40" t="str">
        <f t="shared" si="4"/>
        <v xml:space="preserve">배관관통부채움 </v>
      </c>
    </row>
    <row r="41" spans="1:49" ht="30" hidden="1" customHeight="1" x14ac:dyDescent="0.3">
      <c r="A41" s="17" t="s">
        <v>195</v>
      </c>
      <c r="B41" s="17" t="s">
        <v>196</v>
      </c>
      <c r="C41" s="17" t="s">
        <v>122</v>
      </c>
      <c r="D41" s="41">
        <v>4</v>
      </c>
      <c r="E41" s="16">
        <f>TRUNC(일위대가목록!E7,0)</f>
        <v>0</v>
      </c>
      <c r="F41" s="16">
        <f t="shared" si="0"/>
        <v>0</v>
      </c>
      <c r="G41" s="16">
        <f>TRUNC(일위대가목록!F7,0)</f>
        <v>0</v>
      </c>
      <c r="H41" s="16">
        <f t="shared" si="1"/>
        <v>0</v>
      </c>
      <c r="I41" s="16">
        <f>TRUNC(일위대가목록!G7,0)</f>
        <v>0</v>
      </c>
      <c r="J41" s="16">
        <f t="shared" si="2"/>
        <v>0</v>
      </c>
      <c r="K41" s="16">
        <f t="shared" si="3"/>
        <v>0</v>
      </c>
      <c r="L41" s="16">
        <f t="shared" si="3"/>
        <v>0</v>
      </c>
      <c r="M41" s="17" t="s">
        <v>197</v>
      </c>
      <c r="N41" s="2" t="s">
        <v>198</v>
      </c>
      <c r="O41" s="2" t="s">
        <v>51</v>
      </c>
      <c r="P41" s="2" t="s">
        <v>51</v>
      </c>
      <c r="Q41" s="2" t="s">
        <v>54</v>
      </c>
      <c r="R41" s="2" t="s">
        <v>60</v>
      </c>
      <c r="S41" s="2" t="s">
        <v>61</v>
      </c>
      <c r="T41" s="2" t="s">
        <v>61</v>
      </c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2" t="s">
        <v>51</v>
      </c>
      <c r="AS41" s="2" t="s">
        <v>51</v>
      </c>
      <c r="AT41" s="3"/>
      <c r="AU41" s="2" t="s">
        <v>199</v>
      </c>
      <c r="AV41" s="3">
        <v>38</v>
      </c>
      <c r="AW41" t="str">
        <f t="shared" si="4"/>
        <v>강관 조립말비계(이동식)설치 및 해체 높이 4m, 3개월</v>
      </c>
    </row>
    <row r="42" spans="1:49" ht="30" hidden="1" customHeight="1" x14ac:dyDescent="0.3">
      <c r="A42" s="17" t="s">
        <v>200</v>
      </c>
      <c r="B42" s="17" t="s">
        <v>201</v>
      </c>
      <c r="C42" s="17" t="s">
        <v>132</v>
      </c>
      <c r="D42" s="41">
        <v>13</v>
      </c>
      <c r="E42" s="16">
        <f>TRUNC(단가대비표!O25,0)</f>
        <v>11000</v>
      </c>
      <c r="F42" s="16">
        <f t="shared" si="0"/>
        <v>143000</v>
      </c>
      <c r="G42" s="16">
        <f>TRUNC(단가대비표!P25,0)</f>
        <v>0</v>
      </c>
      <c r="H42" s="16">
        <f t="shared" si="1"/>
        <v>0</v>
      </c>
      <c r="I42" s="16">
        <f>TRUNC(단가대비표!V25,0)</f>
        <v>0</v>
      </c>
      <c r="J42" s="16">
        <f t="shared" si="2"/>
        <v>0</v>
      </c>
      <c r="K42" s="16">
        <f t="shared" si="3"/>
        <v>11000</v>
      </c>
      <c r="L42" s="16">
        <f t="shared" si="3"/>
        <v>143000</v>
      </c>
      <c r="M42" s="17" t="s">
        <v>202</v>
      </c>
      <c r="N42" s="2" t="s">
        <v>203</v>
      </c>
      <c r="O42" s="2" t="s">
        <v>51</v>
      </c>
      <c r="P42" s="2" t="s">
        <v>51</v>
      </c>
      <c r="Q42" s="2" t="s">
        <v>54</v>
      </c>
      <c r="R42" s="2" t="s">
        <v>61</v>
      </c>
      <c r="S42" s="2" t="s">
        <v>61</v>
      </c>
      <c r="T42" s="2" t="s">
        <v>60</v>
      </c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2" t="s">
        <v>51</v>
      </c>
      <c r="AS42" s="2" t="s">
        <v>51</v>
      </c>
      <c r="AT42" s="3"/>
      <c r="AU42" s="2" t="s">
        <v>204</v>
      </c>
      <c r="AV42" s="3">
        <v>6</v>
      </c>
      <c r="AW42" t="str">
        <f t="shared" si="4"/>
        <v>방화실리콘 실란트 300ml</v>
      </c>
    </row>
    <row r="43" spans="1:49" ht="30" hidden="1" customHeight="1" x14ac:dyDescent="0.3">
      <c r="A43" s="17" t="s">
        <v>205</v>
      </c>
      <c r="B43" s="17" t="s">
        <v>51</v>
      </c>
      <c r="C43" s="17" t="s">
        <v>132</v>
      </c>
      <c r="D43" s="41">
        <v>10</v>
      </c>
      <c r="E43" s="16">
        <f>TRUNC(단가대비표!O28,0)</f>
        <v>640</v>
      </c>
      <c r="F43" s="16">
        <f t="shared" si="0"/>
        <v>6400</v>
      </c>
      <c r="G43" s="16">
        <f>TRUNC(단가대비표!P28,0)</f>
        <v>0</v>
      </c>
      <c r="H43" s="16">
        <f t="shared" si="1"/>
        <v>0</v>
      </c>
      <c r="I43" s="16">
        <f>TRUNC(단가대비표!V28,0)</f>
        <v>0</v>
      </c>
      <c r="J43" s="16">
        <f t="shared" si="2"/>
        <v>0</v>
      </c>
      <c r="K43" s="16">
        <f t="shared" si="3"/>
        <v>640</v>
      </c>
      <c r="L43" s="16">
        <f t="shared" si="3"/>
        <v>6400</v>
      </c>
      <c r="M43" s="17" t="s">
        <v>206</v>
      </c>
      <c r="N43" s="2" t="s">
        <v>207</v>
      </c>
      <c r="O43" s="2" t="s">
        <v>51</v>
      </c>
      <c r="P43" s="2" t="s">
        <v>51</v>
      </c>
      <c r="Q43" s="2" t="s">
        <v>54</v>
      </c>
      <c r="R43" s="2" t="s">
        <v>61</v>
      </c>
      <c r="S43" s="2" t="s">
        <v>61</v>
      </c>
      <c r="T43" s="2" t="s">
        <v>60</v>
      </c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2" t="s">
        <v>51</v>
      </c>
      <c r="AS43" s="2" t="s">
        <v>51</v>
      </c>
      <c r="AT43" s="3"/>
      <c r="AU43" s="2" t="s">
        <v>208</v>
      </c>
      <c r="AV43" s="3">
        <v>7</v>
      </c>
      <c r="AW43" t="str">
        <f t="shared" si="4"/>
        <v xml:space="preserve">PVC 파이프 캡 </v>
      </c>
    </row>
    <row r="44" spans="1:49" ht="30" hidden="1" customHeight="1" x14ac:dyDescent="0.3">
      <c r="A44" s="17" t="s">
        <v>209</v>
      </c>
      <c r="B44" s="17" t="s">
        <v>210</v>
      </c>
      <c r="C44" s="17" t="s">
        <v>211</v>
      </c>
      <c r="D44" s="41">
        <v>1</v>
      </c>
      <c r="E44" s="16">
        <f>TRUNC(단가대비표!O40,0)</f>
        <v>0</v>
      </c>
      <c r="F44" s="16">
        <f t="shared" si="0"/>
        <v>0</v>
      </c>
      <c r="G44" s="16">
        <f>TRUNC(단가대비표!P40,0)</f>
        <v>0</v>
      </c>
      <c r="H44" s="16">
        <f t="shared" si="1"/>
        <v>0</v>
      </c>
      <c r="I44" s="16">
        <f>TRUNC(단가대비표!V40,0)</f>
        <v>195900</v>
      </c>
      <c r="J44" s="16">
        <f t="shared" si="2"/>
        <v>195900</v>
      </c>
      <c r="K44" s="16">
        <f t="shared" si="3"/>
        <v>195900</v>
      </c>
      <c r="L44" s="16">
        <f t="shared" si="3"/>
        <v>195900</v>
      </c>
      <c r="M44" s="17" t="s">
        <v>212</v>
      </c>
      <c r="N44" s="2" t="s">
        <v>213</v>
      </c>
      <c r="O44" s="2" t="s">
        <v>51</v>
      </c>
      <c r="P44" s="2" t="s">
        <v>51</v>
      </c>
      <c r="Q44" s="2" t="s">
        <v>54</v>
      </c>
      <c r="R44" s="2" t="s">
        <v>61</v>
      </c>
      <c r="S44" s="2" t="s">
        <v>61</v>
      </c>
      <c r="T44" s="2" t="s">
        <v>60</v>
      </c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2" t="s">
        <v>51</v>
      </c>
      <c r="AS44" s="2" t="s">
        <v>51</v>
      </c>
      <c r="AT44" s="3"/>
      <c r="AU44" s="2" t="s">
        <v>214</v>
      </c>
      <c r="AV44" s="3">
        <v>9</v>
      </c>
      <c r="AW44" t="str">
        <f t="shared" si="4"/>
        <v>화물트럭 운반비 1TON 기준</v>
      </c>
    </row>
    <row r="45" spans="1:49" ht="30" hidden="1" customHeight="1" x14ac:dyDescent="0.3">
      <c r="A45" s="17" t="s">
        <v>215</v>
      </c>
      <c r="B45" s="17" t="s">
        <v>51</v>
      </c>
      <c r="C45" s="17" t="s">
        <v>216</v>
      </c>
      <c r="D45" s="41">
        <v>1</v>
      </c>
      <c r="E45" s="16">
        <f>TRUNC(단가대비표!O45,0)</f>
        <v>781000</v>
      </c>
      <c r="F45" s="16">
        <f t="shared" si="0"/>
        <v>781000</v>
      </c>
      <c r="G45" s="16">
        <f>TRUNC(단가대비표!P45,0)</f>
        <v>0</v>
      </c>
      <c r="H45" s="16">
        <f t="shared" si="1"/>
        <v>0</v>
      </c>
      <c r="I45" s="16">
        <f>TRUNC(단가대비표!V45,0)</f>
        <v>0</v>
      </c>
      <c r="J45" s="16">
        <f t="shared" si="2"/>
        <v>0</v>
      </c>
      <c r="K45" s="16">
        <f t="shared" si="3"/>
        <v>781000</v>
      </c>
      <c r="L45" s="16">
        <f t="shared" si="3"/>
        <v>781000</v>
      </c>
      <c r="M45" s="17" t="s">
        <v>217</v>
      </c>
      <c r="N45" s="2" t="s">
        <v>218</v>
      </c>
      <c r="O45" s="2" t="s">
        <v>51</v>
      </c>
      <c r="P45" s="2" t="s">
        <v>51</v>
      </c>
      <c r="Q45" s="2" t="s">
        <v>54</v>
      </c>
      <c r="R45" s="2" t="s">
        <v>61</v>
      </c>
      <c r="S45" s="2" t="s">
        <v>61</v>
      </c>
      <c r="T45" s="2" t="s">
        <v>60</v>
      </c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2" t="s">
        <v>51</v>
      </c>
      <c r="AS45" s="2" t="s">
        <v>51</v>
      </c>
      <c r="AT45" s="3"/>
      <c r="AU45" s="2" t="s">
        <v>219</v>
      </c>
      <c r="AV45" s="3">
        <v>10</v>
      </c>
      <c r="AW45" t="str">
        <f t="shared" si="4"/>
        <v xml:space="preserve">방화포 </v>
      </c>
    </row>
    <row r="46" spans="1:49" ht="30" hidden="1" customHeight="1" x14ac:dyDescent="0.3">
      <c r="A46" s="15" t="s">
        <v>1303</v>
      </c>
      <c r="B46" s="15" t="s">
        <v>1304</v>
      </c>
      <c r="C46" s="15" t="s">
        <v>1305</v>
      </c>
      <c r="D46" s="41">
        <v>1</v>
      </c>
      <c r="E46" s="16">
        <f>H62*0.03</f>
        <v>0</v>
      </c>
      <c r="F46" s="16">
        <f t="shared" si="0"/>
        <v>0</v>
      </c>
      <c r="G46" s="16"/>
      <c r="H46" s="16"/>
      <c r="I46" s="16"/>
      <c r="J46" s="16"/>
      <c r="K46" s="16"/>
      <c r="L46" s="16">
        <f t="shared" ref="L46" si="5">TRUNC(F46+H46+J46, 0)</f>
        <v>0</v>
      </c>
      <c r="M46" s="15"/>
      <c r="Q46" s="9" t="s">
        <v>54</v>
      </c>
      <c r="AW46" t="str">
        <f t="shared" si="4"/>
        <v>공구손료 노무비의 3%</v>
      </c>
    </row>
    <row r="47" spans="1:49" ht="30" hidden="1" customHeight="1" x14ac:dyDescent="0.3">
      <c r="A47" s="15"/>
      <c r="B47" s="15"/>
      <c r="C47" s="15"/>
      <c r="D47" s="41"/>
      <c r="E47" s="16"/>
      <c r="F47" s="16"/>
      <c r="G47" s="16"/>
      <c r="H47" s="16"/>
      <c r="I47" s="16"/>
      <c r="J47" s="16"/>
      <c r="K47" s="16"/>
      <c r="L47" s="16"/>
      <c r="M47" s="15"/>
      <c r="Q47" s="9" t="s">
        <v>54</v>
      </c>
      <c r="AW47" t="str">
        <f t="shared" si="4"/>
        <v xml:space="preserve"> </v>
      </c>
    </row>
    <row r="48" spans="1:49" ht="30" hidden="1" customHeight="1" x14ac:dyDescent="0.3">
      <c r="A48" s="15"/>
      <c r="B48" s="15"/>
      <c r="C48" s="15"/>
      <c r="D48" s="41"/>
      <c r="E48" s="16"/>
      <c r="F48" s="16"/>
      <c r="G48" s="16"/>
      <c r="H48" s="16"/>
      <c r="I48" s="16"/>
      <c r="J48" s="16"/>
      <c r="K48" s="16"/>
      <c r="L48" s="16"/>
      <c r="M48" s="15"/>
      <c r="Q48" s="9" t="s">
        <v>54</v>
      </c>
      <c r="AW48" t="str">
        <f t="shared" si="4"/>
        <v xml:space="preserve"> </v>
      </c>
    </row>
    <row r="49" spans="1:49" ht="30" hidden="1" customHeight="1" x14ac:dyDescent="0.3">
      <c r="A49" s="15"/>
      <c r="B49" s="15"/>
      <c r="C49" s="15"/>
      <c r="D49" s="41"/>
      <c r="E49" s="16"/>
      <c r="F49" s="16"/>
      <c r="G49" s="16"/>
      <c r="H49" s="16"/>
      <c r="I49" s="16"/>
      <c r="J49" s="16"/>
      <c r="K49" s="16"/>
      <c r="L49" s="16"/>
      <c r="M49" s="15"/>
      <c r="Q49" s="9" t="s">
        <v>54</v>
      </c>
      <c r="AW49" t="str">
        <f t="shared" si="4"/>
        <v xml:space="preserve"> </v>
      </c>
    </row>
    <row r="50" spans="1:49" ht="30" hidden="1" customHeight="1" x14ac:dyDescent="0.3">
      <c r="A50" s="15"/>
      <c r="B50" s="15"/>
      <c r="C50" s="15"/>
      <c r="D50" s="41"/>
      <c r="E50" s="16"/>
      <c r="F50" s="16"/>
      <c r="G50" s="16"/>
      <c r="H50" s="16"/>
      <c r="I50" s="16"/>
      <c r="J50" s="16"/>
      <c r="K50" s="16"/>
      <c r="L50" s="16"/>
      <c r="M50" s="15"/>
      <c r="Q50" s="9" t="s">
        <v>54</v>
      </c>
      <c r="AW50" t="str">
        <f t="shared" si="4"/>
        <v xml:space="preserve"> </v>
      </c>
    </row>
    <row r="51" spans="1:49" ht="30" hidden="1" customHeight="1" x14ac:dyDescent="0.3">
      <c r="A51" s="15"/>
      <c r="B51" s="15"/>
      <c r="C51" s="15"/>
      <c r="D51" s="41"/>
      <c r="E51" s="16"/>
      <c r="F51" s="16"/>
      <c r="G51" s="16"/>
      <c r="H51" s="16"/>
      <c r="I51" s="16"/>
      <c r="J51" s="16"/>
      <c r="K51" s="16"/>
      <c r="L51" s="16"/>
      <c r="M51" s="15"/>
      <c r="Q51" s="9" t="s">
        <v>54</v>
      </c>
      <c r="AW51" t="str">
        <f t="shared" si="4"/>
        <v xml:space="preserve"> </v>
      </c>
    </row>
    <row r="52" spans="1:49" ht="30" hidden="1" customHeight="1" x14ac:dyDescent="0.3">
      <c r="A52" s="15"/>
      <c r="B52" s="15"/>
      <c r="C52" s="15"/>
      <c r="D52" s="41"/>
      <c r="E52" s="16"/>
      <c r="F52" s="16"/>
      <c r="G52" s="16"/>
      <c r="H52" s="16"/>
      <c r="I52" s="16"/>
      <c r="J52" s="16"/>
      <c r="K52" s="16"/>
      <c r="L52" s="16"/>
      <c r="M52" s="15"/>
      <c r="Q52" s="9" t="s">
        <v>54</v>
      </c>
      <c r="AW52" t="str">
        <f t="shared" si="4"/>
        <v xml:space="preserve"> </v>
      </c>
    </row>
    <row r="53" spans="1:49" ht="30" hidden="1" customHeight="1" x14ac:dyDescent="0.3">
      <c r="A53" s="15"/>
      <c r="B53" s="15"/>
      <c r="C53" s="15"/>
      <c r="D53" s="41"/>
      <c r="E53" s="16"/>
      <c r="F53" s="16"/>
      <c r="G53" s="16"/>
      <c r="H53" s="16"/>
      <c r="I53" s="16"/>
      <c r="J53" s="16"/>
      <c r="K53" s="16"/>
      <c r="L53" s="16"/>
      <c r="M53" s="15"/>
      <c r="Q53" s="9" t="s">
        <v>54</v>
      </c>
      <c r="AW53" t="str">
        <f t="shared" si="4"/>
        <v xml:space="preserve"> </v>
      </c>
    </row>
    <row r="54" spans="1:49" ht="30" hidden="1" customHeight="1" x14ac:dyDescent="0.3">
      <c r="A54" s="15"/>
      <c r="B54" s="15"/>
      <c r="C54" s="15"/>
      <c r="D54" s="41"/>
      <c r="E54" s="16"/>
      <c r="F54" s="16"/>
      <c r="G54" s="16"/>
      <c r="H54" s="16"/>
      <c r="I54" s="16"/>
      <c r="J54" s="16"/>
      <c r="K54" s="16"/>
      <c r="L54" s="16"/>
      <c r="M54" s="15"/>
      <c r="Q54" s="9" t="s">
        <v>54</v>
      </c>
      <c r="AW54" t="str">
        <f t="shared" si="4"/>
        <v xml:space="preserve"> </v>
      </c>
    </row>
    <row r="55" spans="1:49" ht="30" hidden="1" customHeight="1" x14ac:dyDescent="0.3">
      <c r="A55" s="15"/>
      <c r="B55" s="15"/>
      <c r="C55" s="15"/>
      <c r="D55" s="41"/>
      <c r="E55" s="16"/>
      <c r="F55" s="16"/>
      <c r="G55" s="16"/>
      <c r="H55" s="16"/>
      <c r="I55" s="16"/>
      <c r="J55" s="16"/>
      <c r="K55" s="16"/>
      <c r="L55" s="16"/>
      <c r="M55" s="15"/>
      <c r="Q55" s="9" t="s">
        <v>54</v>
      </c>
      <c r="AW55" t="str">
        <f t="shared" si="4"/>
        <v xml:space="preserve"> </v>
      </c>
    </row>
    <row r="56" spans="1:49" ht="30" hidden="1" customHeight="1" x14ac:dyDescent="0.3">
      <c r="A56" s="15"/>
      <c r="B56" s="15"/>
      <c r="C56" s="15"/>
      <c r="D56" s="41"/>
      <c r="E56" s="16"/>
      <c r="F56" s="16"/>
      <c r="G56" s="16"/>
      <c r="H56" s="16"/>
      <c r="I56" s="16"/>
      <c r="J56" s="16"/>
      <c r="K56" s="16"/>
      <c r="L56" s="16"/>
      <c r="M56" s="15"/>
      <c r="Q56" s="9" t="s">
        <v>54</v>
      </c>
      <c r="AW56" t="str">
        <f t="shared" si="4"/>
        <v xml:space="preserve"> </v>
      </c>
    </row>
    <row r="57" spans="1:49" ht="30" hidden="1" customHeight="1" x14ac:dyDescent="0.3">
      <c r="A57" s="15"/>
      <c r="B57" s="15"/>
      <c r="C57" s="15"/>
      <c r="D57" s="41"/>
      <c r="E57" s="16"/>
      <c r="F57" s="16"/>
      <c r="G57" s="16"/>
      <c r="H57" s="16"/>
      <c r="I57" s="16"/>
      <c r="J57" s="16"/>
      <c r="K57" s="16"/>
      <c r="L57" s="16"/>
      <c r="M57" s="15"/>
      <c r="Q57" s="9" t="s">
        <v>54</v>
      </c>
      <c r="AW57" t="str">
        <f t="shared" si="4"/>
        <v xml:space="preserve"> </v>
      </c>
    </row>
    <row r="58" spans="1:49" ht="30" hidden="1" customHeight="1" x14ac:dyDescent="0.3">
      <c r="A58" s="15"/>
      <c r="B58" s="15"/>
      <c r="C58" s="15"/>
      <c r="D58" s="41"/>
      <c r="E58" s="16"/>
      <c r="F58" s="16"/>
      <c r="G58" s="16"/>
      <c r="H58" s="16"/>
      <c r="I58" s="16"/>
      <c r="J58" s="16"/>
      <c r="K58" s="16"/>
      <c r="L58" s="16"/>
      <c r="M58" s="15"/>
      <c r="Q58" s="9" t="s">
        <v>54</v>
      </c>
      <c r="AW58" t="str">
        <f t="shared" si="4"/>
        <v xml:space="preserve"> </v>
      </c>
    </row>
    <row r="59" spans="1:49" ht="30" hidden="1" customHeight="1" x14ac:dyDescent="0.3">
      <c r="A59" s="15"/>
      <c r="B59" s="15"/>
      <c r="C59" s="15"/>
      <c r="D59" s="41"/>
      <c r="E59" s="16"/>
      <c r="F59" s="16"/>
      <c r="G59" s="16"/>
      <c r="H59" s="16"/>
      <c r="I59" s="16"/>
      <c r="J59" s="16"/>
      <c r="K59" s="16"/>
      <c r="L59" s="16"/>
      <c r="M59" s="15"/>
      <c r="Q59" s="9" t="s">
        <v>54</v>
      </c>
      <c r="AW59" t="str">
        <f t="shared" si="4"/>
        <v xml:space="preserve"> </v>
      </c>
    </row>
    <row r="60" spans="1:49" ht="30" hidden="1" customHeight="1" x14ac:dyDescent="0.3">
      <c r="A60" s="15"/>
      <c r="B60" s="15"/>
      <c r="C60" s="15"/>
      <c r="D60" s="41"/>
      <c r="E60" s="16"/>
      <c r="F60" s="16"/>
      <c r="G60" s="16"/>
      <c r="H60" s="16"/>
      <c r="I60" s="16"/>
      <c r="J60" s="16"/>
      <c r="K60" s="16"/>
      <c r="L60" s="16"/>
      <c r="M60" s="15"/>
      <c r="Q60" s="9" t="s">
        <v>54</v>
      </c>
      <c r="AW60" t="str">
        <f t="shared" si="4"/>
        <v xml:space="preserve"> </v>
      </c>
    </row>
    <row r="61" spans="1:49" ht="30" hidden="1" customHeight="1" x14ac:dyDescent="0.3">
      <c r="A61" s="15"/>
      <c r="B61" s="15"/>
      <c r="C61" s="15"/>
      <c r="D61" s="41"/>
      <c r="E61" s="16"/>
      <c r="F61" s="16"/>
      <c r="G61" s="16"/>
      <c r="H61" s="16"/>
      <c r="I61" s="16"/>
      <c r="J61" s="16"/>
      <c r="K61" s="16"/>
      <c r="L61" s="16"/>
      <c r="M61" s="15"/>
      <c r="Q61" s="9" t="s">
        <v>54</v>
      </c>
      <c r="AW61" t="str">
        <f t="shared" si="4"/>
        <v xml:space="preserve"> </v>
      </c>
    </row>
    <row r="62" spans="1:49" ht="30" hidden="1" customHeight="1" x14ac:dyDescent="0.3">
      <c r="A62" s="17" t="s">
        <v>220</v>
      </c>
      <c r="B62" s="15"/>
      <c r="C62" s="15"/>
      <c r="D62" s="41"/>
      <c r="E62" s="16"/>
      <c r="F62" s="16">
        <f>SUMIF(Q5:Q61,"0101",F5:F61)</f>
        <v>930400</v>
      </c>
      <c r="G62" s="16"/>
      <c r="H62" s="16">
        <f>SUMIF(Q5:Q61,"0101",H5:H61)</f>
        <v>0</v>
      </c>
      <c r="I62" s="16"/>
      <c r="J62" s="16">
        <f>SUMIF(Q5:Q61,"0101",J5:J61)</f>
        <v>195900</v>
      </c>
      <c r="K62" s="16"/>
      <c r="L62" s="16">
        <f>SUMIF(Q5:Q61,"0101",L5:L61)</f>
        <v>1126300</v>
      </c>
      <c r="M62" s="15"/>
      <c r="N62" t="s">
        <v>221</v>
      </c>
      <c r="AW62" t="str">
        <f t="shared" si="4"/>
        <v xml:space="preserve">[ 합           계 ] </v>
      </c>
    </row>
    <row r="63" spans="1:49" ht="30" hidden="1" customHeight="1" x14ac:dyDescent="0.3">
      <c r="A63" s="17" t="s">
        <v>222</v>
      </c>
      <c r="B63" s="17" t="s">
        <v>51</v>
      </c>
      <c r="C63" s="15"/>
      <c r="D63" s="41"/>
      <c r="E63" s="16"/>
      <c r="F63" s="16"/>
      <c r="G63" s="16"/>
      <c r="H63" s="16"/>
      <c r="I63" s="16"/>
      <c r="J63" s="16"/>
      <c r="K63" s="16"/>
      <c r="L63" s="16"/>
      <c r="M63" s="15"/>
      <c r="N63" s="3"/>
      <c r="O63" s="3"/>
      <c r="P63" s="3"/>
      <c r="Q63" s="2" t="s">
        <v>223</v>
      </c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t="str">
        <f t="shared" si="4"/>
        <v xml:space="preserve">0102  할로겐소화약제설비공사 </v>
      </c>
    </row>
    <row r="64" spans="1:49" ht="30" hidden="1" customHeight="1" x14ac:dyDescent="0.3">
      <c r="A64" s="17" t="s">
        <v>224</v>
      </c>
      <c r="B64" s="17" t="s">
        <v>225</v>
      </c>
      <c r="C64" s="17" t="s">
        <v>226</v>
      </c>
      <c r="D64" s="41">
        <v>1</v>
      </c>
      <c r="E64" s="16">
        <f>TRUNC(단가대비표!O61,0)</f>
        <v>9600000</v>
      </c>
      <c r="F64" s="16">
        <f t="shared" ref="F64:F127" si="6">TRUNC(E64*D64, 0)</f>
        <v>9600000</v>
      </c>
      <c r="G64" s="16">
        <f>TRUNC(단가대비표!P61,0)</f>
        <v>308851</v>
      </c>
      <c r="H64" s="16">
        <f t="shared" ref="H64:H127" si="7">TRUNC(G64*D64, 0)</f>
        <v>308851</v>
      </c>
      <c r="I64" s="16">
        <f>TRUNC(단가대비표!V61,0)</f>
        <v>0</v>
      </c>
      <c r="J64" s="16">
        <f t="shared" ref="J64:J127" si="8">TRUNC(I64*D64, 0)</f>
        <v>0</v>
      </c>
      <c r="K64" s="16">
        <f t="shared" ref="K64:L95" si="9">TRUNC(E64+G64+I64, 0)</f>
        <v>9908851</v>
      </c>
      <c r="L64" s="16">
        <f t="shared" si="9"/>
        <v>9908851</v>
      </c>
      <c r="M64" s="17" t="s">
        <v>227</v>
      </c>
      <c r="N64" s="2" t="s">
        <v>228</v>
      </c>
      <c r="O64" s="2" t="s">
        <v>51</v>
      </c>
      <c r="P64" s="2" t="s">
        <v>51</v>
      </c>
      <c r="Q64" s="2" t="s">
        <v>223</v>
      </c>
      <c r="R64" s="2" t="s">
        <v>61</v>
      </c>
      <c r="S64" s="2" t="s">
        <v>61</v>
      </c>
      <c r="T64" s="2" t="s">
        <v>60</v>
      </c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2" t="s">
        <v>51</v>
      </c>
      <c r="AS64" s="2" t="s">
        <v>51</v>
      </c>
      <c r="AT64" s="3"/>
      <c r="AU64" s="2" t="s">
        <v>229</v>
      </c>
      <c r="AV64" s="3">
        <v>40</v>
      </c>
      <c r="AW64" t="str">
        <f t="shared" si="4"/>
        <v>AnyFire(FK-5-1-12) 모듈러 82.5L/90KG/2BT</v>
      </c>
    </row>
    <row r="65" spans="1:49" ht="30" hidden="1" customHeight="1" x14ac:dyDescent="0.3">
      <c r="A65" s="17" t="s">
        <v>224</v>
      </c>
      <c r="B65" s="17" t="s">
        <v>230</v>
      </c>
      <c r="C65" s="17" t="s">
        <v>226</v>
      </c>
      <c r="D65" s="41">
        <v>4</v>
      </c>
      <c r="E65" s="16">
        <f>TRUNC(단가대비표!O62,0)</f>
        <v>8800000</v>
      </c>
      <c r="F65" s="16">
        <f t="shared" si="6"/>
        <v>35200000</v>
      </c>
      <c r="G65" s="16">
        <f>TRUNC(단가대비표!P62,0)</f>
        <v>308851</v>
      </c>
      <c r="H65" s="16">
        <f t="shared" si="7"/>
        <v>1235404</v>
      </c>
      <c r="I65" s="16">
        <f>TRUNC(단가대비표!V62,0)</f>
        <v>0</v>
      </c>
      <c r="J65" s="16">
        <f t="shared" si="8"/>
        <v>0</v>
      </c>
      <c r="K65" s="16">
        <f t="shared" si="9"/>
        <v>9108851</v>
      </c>
      <c r="L65" s="16">
        <f t="shared" si="9"/>
        <v>36435404</v>
      </c>
      <c r="M65" s="17" t="s">
        <v>231</v>
      </c>
      <c r="N65" s="2" t="s">
        <v>232</v>
      </c>
      <c r="O65" s="2" t="s">
        <v>51</v>
      </c>
      <c r="P65" s="2" t="s">
        <v>51</v>
      </c>
      <c r="Q65" s="2" t="s">
        <v>223</v>
      </c>
      <c r="R65" s="2" t="s">
        <v>61</v>
      </c>
      <c r="S65" s="2" t="s">
        <v>61</v>
      </c>
      <c r="T65" s="2" t="s">
        <v>60</v>
      </c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2" t="s">
        <v>51</v>
      </c>
      <c r="AS65" s="2" t="s">
        <v>51</v>
      </c>
      <c r="AT65" s="3"/>
      <c r="AU65" s="2" t="s">
        <v>233</v>
      </c>
      <c r="AV65" s="3">
        <v>41</v>
      </c>
      <c r="AW65" t="str">
        <f t="shared" si="4"/>
        <v>AnyFire(FK-5-1-12) 모듈러 82.5L/80KG/2BT</v>
      </c>
    </row>
    <row r="66" spans="1:49" ht="30" hidden="1" customHeight="1" x14ac:dyDescent="0.3">
      <c r="A66" s="17" t="s">
        <v>224</v>
      </c>
      <c r="B66" s="17" t="s">
        <v>234</v>
      </c>
      <c r="C66" s="17" t="s">
        <v>226</v>
      </c>
      <c r="D66" s="41">
        <v>1</v>
      </c>
      <c r="E66" s="16">
        <f>TRUNC(단가대비표!O63,0)</f>
        <v>8000000</v>
      </c>
      <c r="F66" s="16">
        <f t="shared" si="6"/>
        <v>8000000</v>
      </c>
      <c r="G66" s="16">
        <f>TRUNC(단가대비표!P63,0)</f>
        <v>308851</v>
      </c>
      <c r="H66" s="16">
        <f t="shared" si="7"/>
        <v>308851</v>
      </c>
      <c r="I66" s="16">
        <f>TRUNC(단가대비표!V63,0)</f>
        <v>0</v>
      </c>
      <c r="J66" s="16">
        <f t="shared" si="8"/>
        <v>0</v>
      </c>
      <c r="K66" s="16">
        <f t="shared" si="9"/>
        <v>8308851</v>
      </c>
      <c r="L66" s="16">
        <f t="shared" si="9"/>
        <v>8308851</v>
      </c>
      <c r="M66" s="17" t="s">
        <v>235</v>
      </c>
      <c r="N66" s="2" t="s">
        <v>236</v>
      </c>
      <c r="O66" s="2" t="s">
        <v>51</v>
      </c>
      <c r="P66" s="2" t="s">
        <v>51</v>
      </c>
      <c r="Q66" s="2" t="s">
        <v>223</v>
      </c>
      <c r="R66" s="2" t="s">
        <v>61</v>
      </c>
      <c r="S66" s="2" t="s">
        <v>61</v>
      </c>
      <c r="T66" s="2" t="s">
        <v>60</v>
      </c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2" t="s">
        <v>51</v>
      </c>
      <c r="AS66" s="2" t="s">
        <v>51</v>
      </c>
      <c r="AT66" s="3"/>
      <c r="AU66" s="2" t="s">
        <v>237</v>
      </c>
      <c r="AV66" s="3">
        <v>42</v>
      </c>
      <c r="AW66" t="str">
        <f t="shared" si="4"/>
        <v>AnyFire(FK-5-1-12) 모듈러 82.5L/70KG/2BT</v>
      </c>
    </row>
    <row r="67" spans="1:49" ht="30" hidden="1" customHeight="1" x14ac:dyDescent="0.3">
      <c r="A67" s="17" t="s">
        <v>224</v>
      </c>
      <c r="B67" s="17" t="s">
        <v>238</v>
      </c>
      <c r="C67" s="17" t="s">
        <v>226</v>
      </c>
      <c r="D67" s="41">
        <v>1</v>
      </c>
      <c r="E67" s="16">
        <f>TRUNC(단가대비표!O64,0)</f>
        <v>4400000</v>
      </c>
      <c r="F67" s="16">
        <f t="shared" si="6"/>
        <v>4400000</v>
      </c>
      <c r="G67" s="16">
        <f>TRUNC(단가대비표!P64,0)</f>
        <v>154426</v>
      </c>
      <c r="H67" s="16">
        <f t="shared" si="7"/>
        <v>154426</v>
      </c>
      <c r="I67" s="16">
        <f>TRUNC(단가대비표!V64,0)</f>
        <v>0</v>
      </c>
      <c r="J67" s="16">
        <f t="shared" si="8"/>
        <v>0</v>
      </c>
      <c r="K67" s="16">
        <f t="shared" si="9"/>
        <v>4554426</v>
      </c>
      <c r="L67" s="16">
        <f t="shared" si="9"/>
        <v>4554426</v>
      </c>
      <c r="M67" s="17" t="s">
        <v>239</v>
      </c>
      <c r="N67" s="2" t="s">
        <v>240</v>
      </c>
      <c r="O67" s="2" t="s">
        <v>51</v>
      </c>
      <c r="P67" s="2" t="s">
        <v>51</v>
      </c>
      <c r="Q67" s="2" t="s">
        <v>223</v>
      </c>
      <c r="R67" s="2" t="s">
        <v>61</v>
      </c>
      <c r="S67" s="2" t="s">
        <v>61</v>
      </c>
      <c r="T67" s="2" t="s">
        <v>60</v>
      </c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2" t="s">
        <v>51</v>
      </c>
      <c r="AS67" s="2" t="s">
        <v>51</v>
      </c>
      <c r="AT67" s="3"/>
      <c r="AU67" s="2" t="s">
        <v>241</v>
      </c>
      <c r="AV67" s="3">
        <v>43</v>
      </c>
      <c r="AW67" t="str">
        <f t="shared" si="4"/>
        <v>AnyFire(FK-5-1-12) 모듈러 82.5L/70KG/1BT</v>
      </c>
    </row>
    <row r="68" spans="1:49" ht="30" hidden="1" customHeight="1" x14ac:dyDescent="0.3">
      <c r="A68" s="17" t="s">
        <v>224</v>
      </c>
      <c r="B68" s="17" t="s">
        <v>242</v>
      </c>
      <c r="C68" s="17" t="s">
        <v>226</v>
      </c>
      <c r="D68" s="41">
        <v>2</v>
      </c>
      <c r="E68" s="16">
        <f>TRUNC(단가대비표!O65,0)</f>
        <v>4000000</v>
      </c>
      <c r="F68" s="16">
        <f t="shared" si="6"/>
        <v>8000000</v>
      </c>
      <c r="G68" s="16">
        <f>TRUNC(단가대비표!P65,0)</f>
        <v>154426</v>
      </c>
      <c r="H68" s="16">
        <f t="shared" si="7"/>
        <v>308852</v>
      </c>
      <c r="I68" s="16">
        <f>TRUNC(단가대비표!V65,0)</f>
        <v>0</v>
      </c>
      <c r="J68" s="16">
        <f t="shared" si="8"/>
        <v>0</v>
      </c>
      <c r="K68" s="16">
        <f t="shared" si="9"/>
        <v>4154426</v>
      </c>
      <c r="L68" s="16">
        <f t="shared" si="9"/>
        <v>8308852</v>
      </c>
      <c r="M68" s="17" t="s">
        <v>243</v>
      </c>
      <c r="N68" s="2" t="s">
        <v>244</v>
      </c>
      <c r="O68" s="2" t="s">
        <v>51</v>
      </c>
      <c r="P68" s="2" t="s">
        <v>51</v>
      </c>
      <c r="Q68" s="2" t="s">
        <v>223</v>
      </c>
      <c r="R68" s="2" t="s">
        <v>61</v>
      </c>
      <c r="S68" s="2" t="s">
        <v>61</v>
      </c>
      <c r="T68" s="2" t="s">
        <v>60</v>
      </c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2" t="s">
        <v>51</v>
      </c>
      <c r="AS68" s="2" t="s">
        <v>51</v>
      </c>
      <c r="AT68" s="3"/>
      <c r="AU68" s="2" t="s">
        <v>245</v>
      </c>
      <c r="AV68" s="3">
        <v>44</v>
      </c>
      <c r="AW68" t="str">
        <f t="shared" si="4"/>
        <v>AnyFire(FK-5-1-12) 모듈러 82.5L/60KG/1BT</v>
      </c>
    </row>
    <row r="69" spans="1:49" ht="30" hidden="1" customHeight="1" x14ac:dyDescent="0.3">
      <c r="A69" s="17" t="s">
        <v>246</v>
      </c>
      <c r="B69" s="17" t="s">
        <v>151</v>
      </c>
      <c r="C69" s="17" t="s">
        <v>187</v>
      </c>
      <c r="D69" s="41">
        <v>6</v>
      </c>
      <c r="E69" s="16">
        <f>TRUNC(단가대비표!O66,0)</f>
        <v>150000</v>
      </c>
      <c r="F69" s="16">
        <f t="shared" si="6"/>
        <v>900000</v>
      </c>
      <c r="G69" s="16">
        <f>TRUNC(단가대비표!P66,0)</f>
        <v>0</v>
      </c>
      <c r="H69" s="16">
        <f t="shared" si="7"/>
        <v>0</v>
      </c>
      <c r="I69" s="16">
        <f>TRUNC(단가대비표!V66,0)</f>
        <v>0</v>
      </c>
      <c r="J69" s="16">
        <f t="shared" si="8"/>
        <v>0</v>
      </c>
      <c r="K69" s="16">
        <f t="shared" si="9"/>
        <v>150000</v>
      </c>
      <c r="L69" s="16">
        <f t="shared" si="9"/>
        <v>900000</v>
      </c>
      <c r="M69" s="17" t="s">
        <v>247</v>
      </c>
      <c r="N69" s="2" t="s">
        <v>248</v>
      </c>
      <c r="O69" s="2" t="s">
        <v>51</v>
      </c>
      <c r="P69" s="2" t="s">
        <v>51</v>
      </c>
      <c r="Q69" s="2" t="s">
        <v>223</v>
      </c>
      <c r="R69" s="2" t="s">
        <v>61</v>
      </c>
      <c r="S69" s="2" t="s">
        <v>61</v>
      </c>
      <c r="T69" s="2" t="s">
        <v>60</v>
      </c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2" t="s">
        <v>51</v>
      </c>
      <c r="AS69" s="2" t="s">
        <v>51</v>
      </c>
      <c r="AT69" s="3"/>
      <c r="AU69" s="2" t="s">
        <v>249</v>
      </c>
      <c r="AV69" s="3">
        <v>45</v>
      </c>
      <c r="AW69" t="str">
        <f t="shared" si="4"/>
        <v>솔레노이드밸브 DC-24V</v>
      </c>
    </row>
    <row r="70" spans="1:49" ht="30" hidden="1" customHeight="1" x14ac:dyDescent="0.3">
      <c r="A70" s="17" t="s">
        <v>250</v>
      </c>
      <c r="B70" s="17" t="s">
        <v>251</v>
      </c>
      <c r="C70" s="17" t="s">
        <v>187</v>
      </c>
      <c r="D70" s="41">
        <v>9</v>
      </c>
      <c r="E70" s="16">
        <f>TRUNC(단가대비표!O67,0)</f>
        <v>50000</v>
      </c>
      <c r="F70" s="16">
        <f t="shared" si="6"/>
        <v>450000</v>
      </c>
      <c r="G70" s="16">
        <f>TRUNC(단가대비표!P67,0)</f>
        <v>0</v>
      </c>
      <c r="H70" s="16">
        <f t="shared" si="7"/>
        <v>0</v>
      </c>
      <c r="I70" s="16">
        <f>TRUNC(단가대비표!V67,0)</f>
        <v>0</v>
      </c>
      <c r="J70" s="16">
        <f t="shared" si="8"/>
        <v>0</v>
      </c>
      <c r="K70" s="16">
        <f t="shared" si="9"/>
        <v>50000</v>
      </c>
      <c r="L70" s="16">
        <f t="shared" si="9"/>
        <v>450000</v>
      </c>
      <c r="M70" s="17" t="s">
        <v>252</v>
      </c>
      <c r="N70" s="2" t="s">
        <v>253</v>
      </c>
      <c r="O70" s="2" t="s">
        <v>51</v>
      </c>
      <c r="P70" s="2" t="s">
        <v>51</v>
      </c>
      <c r="Q70" s="2" t="s">
        <v>223</v>
      </c>
      <c r="R70" s="2" t="s">
        <v>61</v>
      </c>
      <c r="S70" s="2" t="s">
        <v>61</v>
      </c>
      <c r="T70" s="2" t="s">
        <v>60</v>
      </c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2" t="s">
        <v>51</v>
      </c>
      <c r="AS70" s="2" t="s">
        <v>51</v>
      </c>
      <c r="AT70" s="3"/>
      <c r="AU70" s="2" t="s">
        <v>254</v>
      </c>
      <c r="AV70" s="3">
        <v>46</v>
      </c>
      <c r="AW70" t="str">
        <f t="shared" ref="AW70:AW133" si="10">CONCATENATE(A70," ",B70)</f>
        <v>니들밸브 6A</v>
      </c>
    </row>
    <row r="71" spans="1:49" ht="30" hidden="1" customHeight="1" x14ac:dyDescent="0.3">
      <c r="A71" s="17" t="s">
        <v>255</v>
      </c>
      <c r="B71" s="17" t="s">
        <v>256</v>
      </c>
      <c r="C71" s="17" t="s">
        <v>187</v>
      </c>
      <c r="D71" s="41">
        <v>6</v>
      </c>
      <c r="E71" s="16">
        <f>TRUNC(단가대비표!O68,0)</f>
        <v>850000</v>
      </c>
      <c r="F71" s="16">
        <f t="shared" si="6"/>
        <v>5100000</v>
      </c>
      <c r="G71" s="16">
        <f>TRUNC(단가대비표!P68,0)</f>
        <v>256546</v>
      </c>
      <c r="H71" s="16">
        <f t="shared" si="7"/>
        <v>1539276</v>
      </c>
      <c r="I71" s="16">
        <f>TRUNC(단가대비표!V68,0)</f>
        <v>0</v>
      </c>
      <c r="J71" s="16">
        <f t="shared" si="8"/>
        <v>0</v>
      </c>
      <c r="K71" s="16">
        <f t="shared" si="9"/>
        <v>1106546</v>
      </c>
      <c r="L71" s="16">
        <f t="shared" si="9"/>
        <v>6639276</v>
      </c>
      <c r="M71" s="17" t="s">
        <v>257</v>
      </c>
      <c r="N71" s="2" t="s">
        <v>258</v>
      </c>
      <c r="O71" s="2" t="s">
        <v>51</v>
      </c>
      <c r="P71" s="2" t="s">
        <v>51</v>
      </c>
      <c r="Q71" s="2" t="s">
        <v>223</v>
      </c>
      <c r="R71" s="2" t="s">
        <v>61</v>
      </c>
      <c r="S71" s="2" t="s">
        <v>61</v>
      </c>
      <c r="T71" s="2" t="s">
        <v>60</v>
      </c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2" t="s">
        <v>51</v>
      </c>
      <c r="AS71" s="2" t="s">
        <v>51</v>
      </c>
      <c r="AT71" s="3"/>
      <c r="AU71" s="2" t="s">
        <v>259</v>
      </c>
      <c r="AV71" s="3">
        <v>47</v>
      </c>
      <c r="AW71" t="str">
        <f t="shared" si="10"/>
        <v>내진가대(기본형) 모듈러 -2BT</v>
      </c>
    </row>
    <row r="72" spans="1:49" ht="30" hidden="1" customHeight="1" x14ac:dyDescent="0.3">
      <c r="A72" s="17" t="s">
        <v>255</v>
      </c>
      <c r="B72" s="17" t="s">
        <v>260</v>
      </c>
      <c r="C72" s="17" t="s">
        <v>187</v>
      </c>
      <c r="D72" s="41">
        <v>3</v>
      </c>
      <c r="E72" s="16">
        <f>TRUNC(단가대비표!O69,0)</f>
        <v>750000</v>
      </c>
      <c r="F72" s="16">
        <f t="shared" si="6"/>
        <v>2250000</v>
      </c>
      <c r="G72" s="16">
        <f>TRUNC(단가대비표!P69,0)</f>
        <v>256546</v>
      </c>
      <c r="H72" s="16">
        <f t="shared" si="7"/>
        <v>769638</v>
      </c>
      <c r="I72" s="16">
        <f>TRUNC(단가대비표!V69,0)</f>
        <v>0</v>
      </c>
      <c r="J72" s="16">
        <f t="shared" si="8"/>
        <v>0</v>
      </c>
      <c r="K72" s="16">
        <f t="shared" si="9"/>
        <v>1006546</v>
      </c>
      <c r="L72" s="16">
        <f t="shared" si="9"/>
        <v>3019638</v>
      </c>
      <c r="M72" s="17" t="s">
        <v>261</v>
      </c>
      <c r="N72" s="2" t="s">
        <v>262</v>
      </c>
      <c r="O72" s="2" t="s">
        <v>51</v>
      </c>
      <c r="P72" s="2" t="s">
        <v>51</v>
      </c>
      <c r="Q72" s="2" t="s">
        <v>223</v>
      </c>
      <c r="R72" s="2" t="s">
        <v>61</v>
      </c>
      <c r="S72" s="2" t="s">
        <v>61</v>
      </c>
      <c r="T72" s="2" t="s">
        <v>60</v>
      </c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2" t="s">
        <v>51</v>
      </c>
      <c r="AS72" s="2" t="s">
        <v>51</v>
      </c>
      <c r="AT72" s="3"/>
      <c r="AU72" s="2" t="s">
        <v>263</v>
      </c>
      <c r="AV72" s="3">
        <v>48</v>
      </c>
      <c r="AW72" t="str">
        <f t="shared" si="10"/>
        <v>내진가대(기본형) 모듈러 -1BT</v>
      </c>
    </row>
    <row r="73" spans="1:49" ht="30" hidden="1" customHeight="1" x14ac:dyDescent="0.3">
      <c r="A73" s="17" t="s">
        <v>264</v>
      </c>
      <c r="B73" s="17" t="s">
        <v>265</v>
      </c>
      <c r="C73" s="17" t="s">
        <v>187</v>
      </c>
      <c r="D73" s="41">
        <v>3</v>
      </c>
      <c r="E73" s="16">
        <f>TRUNC(단가대비표!O70,0)</f>
        <v>65000</v>
      </c>
      <c r="F73" s="16">
        <f t="shared" si="6"/>
        <v>195000</v>
      </c>
      <c r="G73" s="16">
        <f>TRUNC(단가대비표!P70,0)</f>
        <v>52306</v>
      </c>
      <c r="H73" s="16">
        <f t="shared" si="7"/>
        <v>156918</v>
      </c>
      <c r="I73" s="16">
        <f>TRUNC(단가대비표!V70,0)</f>
        <v>0</v>
      </c>
      <c r="J73" s="16">
        <f t="shared" si="8"/>
        <v>0</v>
      </c>
      <c r="K73" s="16">
        <f t="shared" si="9"/>
        <v>117306</v>
      </c>
      <c r="L73" s="16">
        <f t="shared" si="9"/>
        <v>351918</v>
      </c>
      <c r="M73" s="17" t="s">
        <v>266</v>
      </c>
      <c r="N73" s="2" t="s">
        <v>267</v>
      </c>
      <c r="O73" s="2" t="s">
        <v>51</v>
      </c>
      <c r="P73" s="2" t="s">
        <v>51</v>
      </c>
      <c r="Q73" s="2" t="s">
        <v>223</v>
      </c>
      <c r="R73" s="2" t="s">
        <v>61</v>
      </c>
      <c r="S73" s="2" t="s">
        <v>61</v>
      </c>
      <c r="T73" s="2" t="s">
        <v>60</v>
      </c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2" t="s">
        <v>51</v>
      </c>
      <c r="AS73" s="2" t="s">
        <v>51</v>
      </c>
      <c r="AT73" s="3"/>
      <c r="AU73" s="2" t="s">
        <v>268</v>
      </c>
      <c r="AV73" s="3">
        <v>49</v>
      </c>
      <c r="AW73" t="str">
        <f t="shared" si="10"/>
        <v>FK-5-1-12 Nozzle(360˚) 50A</v>
      </c>
    </row>
    <row r="74" spans="1:49" ht="30" hidden="1" customHeight="1" x14ac:dyDescent="0.3">
      <c r="A74" s="17" t="s">
        <v>269</v>
      </c>
      <c r="B74" s="17" t="s">
        <v>265</v>
      </c>
      <c r="C74" s="17" t="s">
        <v>187</v>
      </c>
      <c r="D74" s="41">
        <v>3</v>
      </c>
      <c r="E74" s="16">
        <f>TRUNC(단가대비표!O71,0)</f>
        <v>65000</v>
      </c>
      <c r="F74" s="16">
        <f t="shared" si="6"/>
        <v>195000</v>
      </c>
      <c r="G74" s="16">
        <f>TRUNC(단가대비표!P71,0)</f>
        <v>52306</v>
      </c>
      <c r="H74" s="16">
        <f t="shared" si="7"/>
        <v>156918</v>
      </c>
      <c r="I74" s="16">
        <f>TRUNC(단가대비표!V71,0)</f>
        <v>0</v>
      </c>
      <c r="J74" s="16">
        <f t="shared" si="8"/>
        <v>0</v>
      </c>
      <c r="K74" s="16">
        <f t="shared" si="9"/>
        <v>117306</v>
      </c>
      <c r="L74" s="16">
        <f t="shared" si="9"/>
        <v>351918</v>
      </c>
      <c r="M74" s="17" t="s">
        <v>270</v>
      </c>
      <c r="N74" s="2" t="s">
        <v>271</v>
      </c>
      <c r="O74" s="2" t="s">
        <v>51</v>
      </c>
      <c r="P74" s="2" t="s">
        <v>51</v>
      </c>
      <c r="Q74" s="2" t="s">
        <v>223</v>
      </c>
      <c r="R74" s="2" t="s">
        <v>61</v>
      </c>
      <c r="S74" s="2" t="s">
        <v>61</v>
      </c>
      <c r="T74" s="2" t="s">
        <v>60</v>
      </c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2" t="s">
        <v>51</v>
      </c>
      <c r="AS74" s="2" t="s">
        <v>51</v>
      </c>
      <c r="AT74" s="3"/>
      <c r="AU74" s="2" t="s">
        <v>272</v>
      </c>
      <c r="AV74" s="3">
        <v>50</v>
      </c>
      <c r="AW74" t="str">
        <f t="shared" si="10"/>
        <v>FK-5-1-12 Nozzle(180˚) 50A</v>
      </c>
    </row>
    <row r="75" spans="1:49" ht="30" hidden="1" customHeight="1" x14ac:dyDescent="0.3">
      <c r="A75" s="17" t="s">
        <v>264</v>
      </c>
      <c r="B75" s="17" t="s">
        <v>273</v>
      </c>
      <c r="C75" s="17" t="s">
        <v>187</v>
      </c>
      <c r="D75" s="41">
        <v>1</v>
      </c>
      <c r="E75" s="16">
        <f>TRUNC(단가대비표!O72,0)</f>
        <v>52000</v>
      </c>
      <c r="F75" s="16">
        <f t="shared" si="6"/>
        <v>52000</v>
      </c>
      <c r="G75" s="16">
        <f>TRUNC(단가대비표!P72,0)</f>
        <v>52306</v>
      </c>
      <c r="H75" s="16">
        <f t="shared" si="7"/>
        <v>52306</v>
      </c>
      <c r="I75" s="16">
        <f>TRUNC(단가대비표!V72,0)</f>
        <v>0</v>
      </c>
      <c r="J75" s="16">
        <f t="shared" si="8"/>
        <v>0</v>
      </c>
      <c r="K75" s="16">
        <f t="shared" si="9"/>
        <v>104306</v>
      </c>
      <c r="L75" s="16">
        <f t="shared" si="9"/>
        <v>104306</v>
      </c>
      <c r="M75" s="17" t="s">
        <v>274</v>
      </c>
      <c r="N75" s="2" t="s">
        <v>275</v>
      </c>
      <c r="O75" s="2" t="s">
        <v>51</v>
      </c>
      <c r="P75" s="2" t="s">
        <v>51</v>
      </c>
      <c r="Q75" s="2" t="s">
        <v>223</v>
      </c>
      <c r="R75" s="2" t="s">
        <v>61</v>
      </c>
      <c r="S75" s="2" t="s">
        <v>61</v>
      </c>
      <c r="T75" s="2" t="s">
        <v>60</v>
      </c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2" t="s">
        <v>51</v>
      </c>
      <c r="AS75" s="2" t="s">
        <v>51</v>
      </c>
      <c r="AT75" s="3"/>
      <c r="AU75" s="2" t="s">
        <v>276</v>
      </c>
      <c r="AV75" s="3">
        <v>51</v>
      </c>
      <c r="AW75" t="str">
        <f t="shared" si="10"/>
        <v>FK-5-1-12 Nozzle(360˚) 40A</v>
      </c>
    </row>
    <row r="76" spans="1:49" ht="30" hidden="1" customHeight="1" x14ac:dyDescent="0.3">
      <c r="A76" s="17" t="s">
        <v>269</v>
      </c>
      <c r="B76" s="17" t="s">
        <v>273</v>
      </c>
      <c r="C76" s="17" t="s">
        <v>187</v>
      </c>
      <c r="D76" s="41">
        <v>2</v>
      </c>
      <c r="E76" s="16">
        <f>TRUNC(단가대비표!O73,0)</f>
        <v>52000</v>
      </c>
      <c r="F76" s="16">
        <f t="shared" si="6"/>
        <v>104000</v>
      </c>
      <c r="G76" s="16">
        <f>TRUNC(단가대비표!P73,0)</f>
        <v>52306</v>
      </c>
      <c r="H76" s="16">
        <f t="shared" si="7"/>
        <v>104612</v>
      </c>
      <c r="I76" s="16">
        <f>TRUNC(단가대비표!V73,0)</f>
        <v>0</v>
      </c>
      <c r="J76" s="16">
        <f t="shared" si="8"/>
        <v>0</v>
      </c>
      <c r="K76" s="16">
        <f t="shared" si="9"/>
        <v>104306</v>
      </c>
      <c r="L76" s="16">
        <f t="shared" si="9"/>
        <v>208612</v>
      </c>
      <c r="M76" s="17" t="s">
        <v>277</v>
      </c>
      <c r="N76" s="2" t="s">
        <v>278</v>
      </c>
      <c r="O76" s="2" t="s">
        <v>51</v>
      </c>
      <c r="P76" s="2" t="s">
        <v>51</v>
      </c>
      <c r="Q76" s="2" t="s">
        <v>223</v>
      </c>
      <c r="R76" s="2" t="s">
        <v>61</v>
      </c>
      <c r="S76" s="2" t="s">
        <v>61</v>
      </c>
      <c r="T76" s="2" t="s">
        <v>60</v>
      </c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2" t="s">
        <v>51</v>
      </c>
      <c r="AS76" s="2" t="s">
        <v>51</v>
      </c>
      <c r="AT76" s="3"/>
      <c r="AU76" s="2" t="s">
        <v>279</v>
      </c>
      <c r="AV76" s="3">
        <v>52</v>
      </c>
      <c r="AW76" t="str">
        <f t="shared" si="10"/>
        <v>FK-5-1-12 Nozzle(180˚) 40A</v>
      </c>
    </row>
    <row r="77" spans="1:49" ht="30" hidden="1" customHeight="1" x14ac:dyDescent="0.3">
      <c r="A77" s="17" t="s">
        <v>280</v>
      </c>
      <c r="B77" s="17" t="s">
        <v>281</v>
      </c>
      <c r="C77" s="17" t="s">
        <v>187</v>
      </c>
      <c r="D77" s="41">
        <v>1</v>
      </c>
      <c r="E77" s="16">
        <f>TRUNC(단가대비표!O74,0)</f>
        <v>710000</v>
      </c>
      <c r="F77" s="16">
        <f t="shared" si="6"/>
        <v>710000</v>
      </c>
      <c r="G77" s="16">
        <f>TRUNC(단가대비표!P74,0)</f>
        <v>164431</v>
      </c>
      <c r="H77" s="16">
        <f t="shared" si="7"/>
        <v>164431</v>
      </c>
      <c r="I77" s="16">
        <f>TRUNC(단가대비표!V74,0)</f>
        <v>0</v>
      </c>
      <c r="J77" s="16">
        <f t="shared" si="8"/>
        <v>0</v>
      </c>
      <c r="K77" s="16">
        <f t="shared" si="9"/>
        <v>874431</v>
      </c>
      <c r="L77" s="16">
        <f t="shared" si="9"/>
        <v>874431</v>
      </c>
      <c r="M77" s="17" t="s">
        <v>282</v>
      </c>
      <c r="N77" s="2" t="s">
        <v>283</v>
      </c>
      <c r="O77" s="2" t="s">
        <v>51</v>
      </c>
      <c r="P77" s="2" t="s">
        <v>51</v>
      </c>
      <c r="Q77" s="2" t="s">
        <v>223</v>
      </c>
      <c r="R77" s="2" t="s">
        <v>61</v>
      </c>
      <c r="S77" s="2" t="s">
        <v>61</v>
      </c>
      <c r="T77" s="2" t="s">
        <v>60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51</v>
      </c>
      <c r="AS77" s="2" t="s">
        <v>51</v>
      </c>
      <c r="AT77" s="3"/>
      <c r="AU77" s="2" t="s">
        <v>284</v>
      </c>
      <c r="AV77" s="3">
        <v>53</v>
      </c>
      <c r="AW77" t="str">
        <f t="shared" si="10"/>
        <v>과(부)압배출구 (성능인증품) 600X600mm</v>
      </c>
    </row>
    <row r="78" spans="1:49" ht="30" hidden="1" customHeight="1" x14ac:dyDescent="0.3">
      <c r="A78" s="17" t="s">
        <v>280</v>
      </c>
      <c r="B78" s="17" t="s">
        <v>285</v>
      </c>
      <c r="C78" s="17" t="s">
        <v>187</v>
      </c>
      <c r="D78" s="41">
        <v>1</v>
      </c>
      <c r="E78" s="16">
        <f>TRUNC(단가대비표!O75,0)</f>
        <v>590000</v>
      </c>
      <c r="F78" s="16">
        <f t="shared" si="6"/>
        <v>590000</v>
      </c>
      <c r="G78" s="16">
        <f>TRUNC(단가대비표!P75,0)</f>
        <v>112396</v>
      </c>
      <c r="H78" s="16">
        <f t="shared" si="7"/>
        <v>112396</v>
      </c>
      <c r="I78" s="16">
        <f>TRUNC(단가대비표!V75,0)</f>
        <v>0</v>
      </c>
      <c r="J78" s="16">
        <f t="shared" si="8"/>
        <v>0</v>
      </c>
      <c r="K78" s="16">
        <f t="shared" si="9"/>
        <v>702396</v>
      </c>
      <c r="L78" s="16">
        <f t="shared" si="9"/>
        <v>702396</v>
      </c>
      <c r="M78" s="17" t="s">
        <v>286</v>
      </c>
      <c r="N78" s="2" t="s">
        <v>287</v>
      </c>
      <c r="O78" s="2" t="s">
        <v>51</v>
      </c>
      <c r="P78" s="2" t="s">
        <v>51</v>
      </c>
      <c r="Q78" s="2" t="s">
        <v>223</v>
      </c>
      <c r="R78" s="2" t="s">
        <v>61</v>
      </c>
      <c r="S78" s="2" t="s">
        <v>61</v>
      </c>
      <c r="T78" s="2" t="s">
        <v>60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51</v>
      </c>
      <c r="AS78" s="2" t="s">
        <v>51</v>
      </c>
      <c r="AT78" s="3"/>
      <c r="AU78" s="2" t="s">
        <v>288</v>
      </c>
      <c r="AV78" s="3">
        <v>54</v>
      </c>
      <c r="AW78" t="str">
        <f t="shared" si="10"/>
        <v>과(부)압배출구 (성능인증품) 400X400mm</v>
      </c>
    </row>
    <row r="79" spans="1:49" ht="30" hidden="1" customHeight="1" x14ac:dyDescent="0.3">
      <c r="A79" s="17" t="s">
        <v>280</v>
      </c>
      <c r="B79" s="17" t="s">
        <v>289</v>
      </c>
      <c r="C79" s="17" t="s">
        <v>187</v>
      </c>
      <c r="D79" s="41">
        <v>3</v>
      </c>
      <c r="E79" s="16">
        <f>TRUNC(단가대비표!O76,0)</f>
        <v>520000</v>
      </c>
      <c r="F79" s="16">
        <f t="shared" si="6"/>
        <v>1560000</v>
      </c>
      <c r="G79" s="16">
        <f>TRUNC(단가대비표!P76,0)</f>
        <v>86379</v>
      </c>
      <c r="H79" s="16">
        <f t="shared" si="7"/>
        <v>259137</v>
      </c>
      <c r="I79" s="16">
        <f>TRUNC(단가대비표!V76,0)</f>
        <v>0</v>
      </c>
      <c r="J79" s="16">
        <f t="shared" si="8"/>
        <v>0</v>
      </c>
      <c r="K79" s="16">
        <f t="shared" si="9"/>
        <v>606379</v>
      </c>
      <c r="L79" s="16">
        <f t="shared" si="9"/>
        <v>1819137</v>
      </c>
      <c r="M79" s="17" t="s">
        <v>290</v>
      </c>
      <c r="N79" s="2" t="s">
        <v>291</v>
      </c>
      <c r="O79" s="2" t="s">
        <v>51</v>
      </c>
      <c r="P79" s="2" t="s">
        <v>51</v>
      </c>
      <c r="Q79" s="2" t="s">
        <v>223</v>
      </c>
      <c r="R79" s="2" t="s">
        <v>61</v>
      </c>
      <c r="S79" s="2" t="s">
        <v>61</v>
      </c>
      <c r="T79" s="2" t="s">
        <v>60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51</v>
      </c>
      <c r="AS79" s="2" t="s">
        <v>51</v>
      </c>
      <c r="AT79" s="3"/>
      <c r="AU79" s="2" t="s">
        <v>292</v>
      </c>
      <c r="AV79" s="3">
        <v>55</v>
      </c>
      <c r="AW79" t="str">
        <f t="shared" si="10"/>
        <v>과(부)압배출구 (성능인증품) 300X300mm</v>
      </c>
    </row>
    <row r="80" spans="1:49" ht="30" hidden="1" customHeight="1" x14ac:dyDescent="0.3">
      <c r="A80" s="17" t="s">
        <v>280</v>
      </c>
      <c r="B80" s="17" t="s">
        <v>293</v>
      </c>
      <c r="C80" s="17" t="s">
        <v>187</v>
      </c>
      <c r="D80" s="41">
        <v>1</v>
      </c>
      <c r="E80" s="16">
        <f>TRUNC(단가대비표!O77,0)</f>
        <v>480000</v>
      </c>
      <c r="F80" s="16">
        <f t="shared" si="6"/>
        <v>480000</v>
      </c>
      <c r="G80" s="16">
        <f>TRUNC(단가대비표!P77,0)</f>
        <v>86379</v>
      </c>
      <c r="H80" s="16">
        <f t="shared" si="7"/>
        <v>86379</v>
      </c>
      <c r="I80" s="16">
        <f>TRUNC(단가대비표!V77,0)</f>
        <v>0</v>
      </c>
      <c r="J80" s="16">
        <f t="shared" si="8"/>
        <v>0</v>
      </c>
      <c r="K80" s="16">
        <f t="shared" si="9"/>
        <v>566379</v>
      </c>
      <c r="L80" s="16">
        <f t="shared" si="9"/>
        <v>566379</v>
      </c>
      <c r="M80" s="17" t="s">
        <v>294</v>
      </c>
      <c r="N80" s="2" t="s">
        <v>295</v>
      </c>
      <c r="O80" s="2" t="s">
        <v>51</v>
      </c>
      <c r="P80" s="2" t="s">
        <v>51</v>
      </c>
      <c r="Q80" s="2" t="s">
        <v>223</v>
      </c>
      <c r="R80" s="2" t="s">
        <v>61</v>
      </c>
      <c r="S80" s="2" t="s">
        <v>61</v>
      </c>
      <c r="T80" s="2" t="s">
        <v>60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2" t="s">
        <v>51</v>
      </c>
      <c r="AS80" s="2" t="s">
        <v>51</v>
      </c>
      <c r="AT80" s="3"/>
      <c r="AU80" s="2" t="s">
        <v>296</v>
      </c>
      <c r="AV80" s="3">
        <v>56</v>
      </c>
      <c r="AW80" t="str">
        <f t="shared" si="10"/>
        <v>과(부)압배출구 (성능인증품) 200X200mm</v>
      </c>
    </row>
    <row r="81" spans="1:49" ht="30" hidden="1" customHeight="1" x14ac:dyDescent="0.3">
      <c r="A81" s="17" t="s">
        <v>297</v>
      </c>
      <c r="B81" s="17" t="s">
        <v>298</v>
      </c>
      <c r="C81" s="17" t="s">
        <v>187</v>
      </c>
      <c r="D81" s="41">
        <v>4</v>
      </c>
      <c r="E81" s="16">
        <f>TRUNC(단가대비표!O78,0)</f>
        <v>12000</v>
      </c>
      <c r="F81" s="16">
        <f t="shared" si="6"/>
        <v>48000</v>
      </c>
      <c r="G81" s="16">
        <f>TRUNC(단가대비표!P78,0)</f>
        <v>0</v>
      </c>
      <c r="H81" s="16">
        <f t="shared" si="7"/>
        <v>0</v>
      </c>
      <c r="I81" s="16">
        <f>TRUNC(단가대비표!V78,0)</f>
        <v>0</v>
      </c>
      <c r="J81" s="16">
        <f t="shared" si="8"/>
        <v>0</v>
      </c>
      <c r="K81" s="16">
        <f t="shared" si="9"/>
        <v>12000</v>
      </c>
      <c r="L81" s="16">
        <f t="shared" si="9"/>
        <v>48000</v>
      </c>
      <c r="M81" s="17" t="s">
        <v>299</v>
      </c>
      <c r="N81" s="2" t="s">
        <v>300</v>
      </c>
      <c r="O81" s="2" t="s">
        <v>51</v>
      </c>
      <c r="P81" s="2" t="s">
        <v>51</v>
      </c>
      <c r="Q81" s="2" t="s">
        <v>223</v>
      </c>
      <c r="R81" s="2" t="s">
        <v>61</v>
      </c>
      <c r="S81" s="2" t="s">
        <v>61</v>
      </c>
      <c r="T81" s="2" t="s">
        <v>60</v>
      </c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2" t="s">
        <v>51</v>
      </c>
      <c r="AS81" s="2" t="s">
        <v>51</v>
      </c>
      <c r="AT81" s="3"/>
      <c r="AU81" s="2" t="s">
        <v>301</v>
      </c>
      <c r="AV81" s="3">
        <v>57</v>
      </c>
      <c r="AW81" t="str">
        <f t="shared" si="10"/>
        <v>구역명판 FOMAX</v>
      </c>
    </row>
    <row r="82" spans="1:49" ht="30" hidden="1" customHeight="1" x14ac:dyDescent="0.3">
      <c r="A82" s="17" t="s">
        <v>302</v>
      </c>
      <c r="B82" s="17" t="s">
        <v>298</v>
      </c>
      <c r="C82" s="17" t="s">
        <v>187</v>
      </c>
      <c r="D82" s="41">
        <v>1</v>
      </c>
      <c r="E82" s="16">
        <f>TRUNC(단가대비표!O79,0)</f>
        <v>120000</v>
      </c>
      <c r="F82" s="16">
        <f t="shared" si="6"/>
        <v>120000</v>
      </c>
      <c r="G82" s="16">
        <f>TRUNC(단가대비표!P79,0)</f>
        <v>0</v>
      </c>
      <c r="H82" s="16">
        <f t="shared" si="7"/>
        <v>0</v>
      </c>
      <c r="I82" s="16">
        <f>TRUNC(단가대비표!V79,0)</f>
        <v>0</v>
      </c>
      <c r="J82" s="16">
        <f t="shared" si="8"/>
        <v>0</v>
      </c>
      <c r="K82" s="16">
        <f t="shared" si="9"/>
        <v>120000</v>
      </c>
      <c r="L82" s="16">
        <f t="shared" si="9"/>
        <v>120000</v>
      </c>
      <c r="M82" s="17" t="s">
        <v>303</v>
      </c>
      <c r="N82" s="2" t="s">
        <v>304</v>
      </c>
      <c r="O82" s="2" t="s">
        <v>51</v>
      </c>
      <c r="P82" s="2" t="s">
        <v>51</v>
      </c>
      <c r="Q82" s="2" t="s">
        <v>223</v>
      </c>
      <c r="R82" s="2" t="s">
        <v>61</v>
      </c>
      <c r="S82" s="2" t="s">
        <v>61</v>
      </c>
      <c r="T82" s="2" t="s">
        <v>60</v>
      </c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2" t="s">
        <v>51</v>
      </c>
      <c r="AS82" s="2" t="s">
        <v>51</v>
      </c>
      <c r="AT82" s="3"/>
      <c r="AU82" s="2" t="s">
        <v>305</v>
      </c>
      <c r="AV82" s="3">
        <v>58</v>
      </c>
      <c r="AW82" t="str">
        <f t="shared" si="10"/>
        <v>작동설명판 FOMAX</v>
      </c>
    </row>
    <row r="83" spans="1:49" ht="30" hidden="1" customHeight="1" x14ac:dyDescent="0.3">
      <c r="A83" s="17" t="s">
        <v>306</v>
      </c>
      <c r="B83" s="17" t="s">
        <v>298</v>
      </c>
      <c r="C83" s="17" t="s">
        <v>187</v>
      </c>
      <c r="D83" s="41">
        <v>1</v>
      </c>
      <c r="E83" s="16">
        <f>TRUNC(단가대비표!O80,0)</f>
        <v>120000</v>
      </c>
      <c r="F83" s="16">
        <f t="shared" si="6"/>
        <v>120000</v>
      </c>
      <c r="G83" s="16">
        <f>TRUNC(단가대비표!P80,0)</f>
        <v>0</v>
      </c>
      <c r="H83" s="16">
        <f t="shared" si="7"/>
        <v>0</v>
      </c>
      <c r="I83" s="16">
        <f>TRUNC(단가대비표!V80,0)</f>
        <v>0</v>
      </c>
      <c r="J83" s="16">
        <f t="shared" si="8"/>
        <v>0</v>
      </c>
      <c r="K83" s="16">
        <f t="shared" si="9"/>
        <v>120000</v>
      </c>
      <c r="L83" s="16">
        <f t="shared" si="9"/>
        <v>120000</v>
      </c>
      <c r="M83" s="17" t="s">
        <v>307</v>
      </c>
      <c r="N83" s="2" t="s">
        <v>308</v>
      </c>
      <c r="O83" s="2" t="s">
        <v>51</v>
      </c>
      <c r="P83" s="2" t="s">
        <v>51</v>
      </c>
      <c r="Q83" s="2" t="s">
        <v>223</v>
      </c>
      <c r="R83" s="2" t="s">
        <v>61</v>
      </c>
      <c r="S83" s="2" t="s">
        <v>61</v>
      </c>
      <c r="T83" s="2" t="s">
        <v>60</v>
      </c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2" t="s">
        <v>51</v>
      </c>
      <c r="AS83" s="2" t="s">
        <v>51</v>
      </c>
      <c r="AT83" s="3"/>
      <c r="AU83" s="2" t="s">
        <v>309</v>
      </c>
      <c r="AV83" s="3">
        <v>59</v>
      </c>
      <c r="AW83" t="str">
        <f t="shared" si="10"/>
        <v>방호구역도 FOMAX</v>
      </c>
    </row>
    <row r="84" spans="1:49" ht="30" hidden="1" customHeight="1" x14ac:dyDescent="0.3">
      <c r="A84" s="17" t="s">
        <v>310</v>
      </c>
      <c r="B84" s="17" t="s">
        <v>311</v>
      </c>
      <c r="C84" s="17" t="s">
        <v>74</v>
      </c>
      <c r="D84" s="41">
        <v>18</v>
      </c>
      <c r="E84" s="16">
        <f>TRUNC(단가대비표!O81,0)</f>
        <v>29985</v>
      </c>
      <c r="F84" s="16">
        <f t="shared" si="6"/>
        <v>539730</v>
      </c>
      <c r="G84" s="16">
        <f>TRUNC(단가대비표!P81,0)</f>
        <v>87035</v>
      </c>
      <c r="H84" s="16">
        <f t="shared" si="7"/>
        <v>1566630</v>
      </c>
      <c r="I84" s="16">
        <f>TRUNC(단가대비표!V81,0)</f>
        <v>0</v>
      </c>
      <c r="J84" s="16">
        <f t="shared" si="8"/>
        <v>0</v>
      </c>
      <c r="K84" s="16">
        <f t="shared" si="9"/>
        <v>117020</v>
      </c>
      <c r="L84" s="16">
        <f t="shared" si="9"/>
        <v>2106360</v>
      </c>
      <c r="M84" s="17" t="s">
        <v>312</v>
      </c>
      <c r="N84" s="2" t="s">
        <v>313</v>
      </c>
      <c r="O84" s="2" t="s">
        <v>51</v>
      </c>
      <c r="P84" s="2" t="s">
        <v>51</v>
      </c>
      <c r="Q84" s="2" t="s">
        <v>223</v>
      </c>
      <c r="R84" s="2" t="s">
        <v>61</v>
      </c>
      <c r="S84" s="2" t="s">
        <v>61</v>
      </c>
      <c r="T84" s="2" t="s">
        <v>60</v>
      </c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2" t="s">
        <v>51</v>
      </c>
      <c r="AS84" s="2" t="s">
        <v>51</v>
      </c>
      <c r="AT84" s="3"/>
      <c r="AU84" s="2" t="s">
        <v>314</v>
      </c>
      <c r="AV84" s="3">
        <v>60</v>
      </c>
      <c r="AW84" t="str">
        <f t="shared" si="10"/>
        <v>KSD-3562 SCH40(백관) 100A</v>
      </c>
    </row>
    <row r="85" spans="1:49" ht="30" hidden="1" customHeight="1" x14ac:dyDescent="0.3">
      <c r="A85" s="17" t="s">
        <v>310</v>
      </c>
      <c r="B85" s="17" t="s">
        <v>315</v>
      </c>
      <c r="C85" s="17" t="s">
        <v>74</v>
      </c>
      <c r="D85" s="41">
        <v>7</v>
      </c>
      <c r="E85" s="16">
        <f>TRUNC(단가대비표!O82,0)</f>
        <v>17060</v>
      </c>
      <c r="F85" s="16">
        <f t="shared" si="6"/>
        <v>119420</v>
      </c>
      <c r="G85" s="16">
        <f>TRUNC(단가대비표!P82,0)</f>
        <v>46967</v>
      </c>
      <c r="H85" s="16">
        <f t="shared" si="7"/>
        <v>328769</v>
      </c>
      <c r="I85" s="16">
        <f>TRUNC(단가대비표!V82,0)</f>
        <v>0</v>
      </c>
      <c r="J85" s="16">
        <f t="shared" si="8"/>
        <v>0</v>
      </c>
      <c r="K85" s="16">
        <f t="shared" si="9"/>
        <v>64027</v>
      </c>
      <c r="L85" s="16">
        <f t="shared" si="9"/>
        <v>448189</v>
      </c>
      <c r="M85" s="17" t="s">
        <v>316</v>
      </c>
      <c r="N85" s="2" t="s">
        <v>317</v>
      </c>
      <c r="O85" s="2" t="s">
        <v>51</v>
      </c>
      <c r="P85" s="2" t="s">
        <v>51</v>
      </c>
      <c r="Q85" s="2" t="s">
        <v>223</v>
      </c>
      <c r="R85" s="2" t="s">
        <v>61</v>
      </c>
      <c r="S85" s="2" t="s">
        <v>61</v>
      </c>
      <c r="T85" s="2" t="s">
        <v>60</v>
      </c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2" t="s">
        <v>51</v>
      </c>
      <c r="AS85" s="2" t="s">
        <v>51</v>
      </c>
      <c r="AT85" s="3"/>
      <c r="AU85" s="2" t="s">
        <v>318</v>
      </c>
      <c r="AV85" s="3">
        <v>61</v>
      </c>
      <c r="AW85" t="str">
        <f t="shared" si="10"/>
        <v>KSD-3562 SCH40(백관) 65A</v>
      </c>
    </row>
    <row r="86" spans="1:49" ht="30" hidden="1" customHeight="1" x14ac:dyDescent="0.3">
      <c r="A86" s="17" t="s">
        <v>310</v>
      </c>
      <c r="B86" s="17" t="s">
        <v>265</v>
      </c>
      <c r="C86" s="17" t="s">
        <v>74</v>
      </c>
      <c r="D86" s="41">
        <v>31</v>
      </c>
      <c r="E86" s="16">
        <f>TRUNC(단가대비표!O83,0)</f>
        <v>10190</v>
      </c>
      <c r="F86" s="16">
        <f t="shared" si="6"/>
        <v>315890</v>
      </c>
      <c r="G86" s="16">
        <f>TRUNC(단가대비표!P83,0)</f>
        <v>40646</v>
      </c>
      <c r="H86" s="16">
        <f t="shared" si="7"/>
        <v>1260026</v>
      </c>
      <c r="I86" s="16">
        <f>TRUNC(단가대비표!V83,0)</f>
        <v>0</v>
      </c>
      <c r="J86" s="16">
        <f t="shared" si="8"/>
        <v>0</v>
      </c>
      <c r="K86" s="16">
        <f t="shared" si="9"/>
        <v>50836</v>
      </c>
      <c r="L86" s="16">
        <f t="shared" si="9"/>
        <v>1575916</v>
      </c>
      <c r="M86" s="17" t="s">
        <v>319</v>
      </c>
      <c r="N86" s="2" t="s">
        <v>320</v>
      </c>
      <c r="O86" s="2" t="s">
        <v>51</v>
      </c>
      <c r="P86" s="2" t="s">
        <v>51</v>
      </c>
      <c r="Q86" s="2" t="s">
        <v>223</v>
      </c>
      <c r="R86" s="2" t="s">
        <v>61</v>
      </c>
      <c r="S86" s="2" t="s">
        <v>61</v>
      </c>
      <c r="T86" s="2" t="s">
        <v>60</v>
      </c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2" t="s">
        <v>51</v>
      </c>
      <c r="AS86" s="2" t="s">
        <v>51</v>
      </c>
      <c r="AT86" s="3"/>
      <c r="AU86" s="2" t="s">
        <v>321</v>
      </c>
      <c r="AV86" s="3">
        <v>62</v>
      </c>
      <c r="AW86" t="str">
        <f t="shared" si="10"/>
        <v>KSD-3562 SCH40(백관) 50A</v>
      </c>
    </row>
    <row r="87" spans="1:49" ht="30" hidden="1" customHeight="1" x14ac:dyDescent="0.3">
      <c r="A87" s="17" t="s">
        <v>310</v>
      </c>
      <c r="B87" s="17" t="s">
        <v>273</v>
      </c>
      <c r="C87" s="17" t="s">
        <v>74</v>
      </c>
      <c r="D87" s="41">
        <v>21</v>
      </c>
      <c r="E87" s="16">
        <f>TRUNC(단가대비표!O84,0)</f>
        <v>7304</v>
      </c>
      <c r="F87" s="16">
        <f t="shared" si="6"/>
        <v>153384</v>
      </c>
      <c r="G87" s="16">
        <f>TRUNC(단가대비표!P84,0)</f>
        <v>31514</v>
      </c>
      <c r="H87" s="16">
        <f t="shared" si="7"/>
        <v>661794</v>
      </c>
      <c r="I87" s="16">
        <f>TRUNC(단가대비표!V84,0)</f>
        <v>0</v>
      </c>
      <c r="J87" s="16">
        <f t="shared" si="8"/>
        <v>0</v>
      </c>
      <c r="K87" s="16">
        <f t="shared" si="9"/>
        <v>38818</v>
      </c>
      <c r="L87" s="16">
        <f t="shared" si="9"/>
        <v>815178</v>
      </c>
      <c r="M87" s="17" t="s">
        <v>322</v>
      </c>
      <c r="N87" s="2" t="s">
        <v>323</v>
      </c>
      <c r="O87" s="2" t="s">
        <v>51</v>
      </c>
      <c r="P87" s="2" t="s">
        <v>51</v>
      </c>
      <c r="Q87" s="2" t="s">
        <v>223</v>
      </c>
      <c r="R87" s="2" t="s">
        <v>61</v>
      </c>
      <c r="S87" s="2" t="s">
        <v>61</v>
      </c>
      <c r="T87" s="2" t="s">
        <v>60</v>
      </c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2" t="s">
        <v>51</v>
      </c>
      <c r="AS87" s="2" t="s">
        <v>51</v>
      </c>
      <c r="AT87" s="3"/>
      <c r="AU87" s="2" t="s">
        <v>324</v>
      </c>
      <c r="AV87" s="3">
        <v>63</v>
      </c>
      <c r="AW87" t="str">
        <f t="shared" si="10"/>
        <v>KSD-3562 SCH40(백관) 40A</v>
      </c>
    </row>
    <row r="88" spans="1:49" ht="30" hidden="1" customHeight="1" x14ac:dyDescent="0.3">
      <c r="A88" s="17" t="s">
        <v>325</v>
      </c>
      <c r="B88" s="17" t="s">
        <v>326</v>
      </c>
      <c r="C88" s="17" t="s">
        <v>187</v>
      </c>
      <c r="D88" s="41">
        <v>5</v>
      </c>
      <c r="E88" s="16">
        <f>TRUNC(단가대비표!O85,0)</f>
        <v>23700</v>
      </c>
      <c r="F88" s="16">
        <f t="shared" si="6"/>
        <v>118500</v>
      </c>
      <c r="G88" s="16">
        <f>TRUNC(단가대비표!P85,0)</f>
        <v>0</v>
      </c>
      <c r="H88" s="16">
        <f t="shared" si="7"/>
        <v>0</v>
      </c>
      <c r="I88" s="16">
        <f>TRUNC(단가대비표!V85,0)</f>
        <v>0</v>
      </c>
      <c r="J88" s="16">
        <f t="shared" si="8"/>
        <v>0</v>
      </c>
      <c r="K88" s="16">
        <f t="shared" si="9"/>
        <v>23700</v>
      </c>
      <c r="L88" s="16">
        <f t="shared" si="9"/>
        <v>118500</v>
      </c>
      <c r="M88" s="17" t="s">
        <v>327</v>
      </c>
      <c r="N88" s="2" t="s">
        <v>328</v>
      </c>
      <c r="O88" s="2" t="s">
        <v>51</v>
      </c>
      <c r="P88" s="2" t="s">
        <v>51</v>
      </c>
      <c r="Q88" s="2" t="s">
        <v>223</v>
      </c>
      <c r="R88" s="2" t="s">
        <v>61</v>
      </c>
      <c r="S88" s="2" t="s">
        <v>61</v>
      </c>
      <c r="T88" s="2" t="s">
        <v>60</v>
      </c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2" t="s">
        <v>51</v>
      </c>
      <c r="AS88" s="2" t="s">
        <v>51</v>
      </c>
      <c r="AT88" s="3"/>
      <c r="AU88" s="2" t="s">
        <v>329</v>
      </c>
      <c r="AV88" s="3">
        <v>64</v>
      </c>
      <c r="AW88" t="str">
        <f t="shared" si="10"/>
        <v>SCH40 그루브 관이음쇠 엘보 , 100A</v>
      </c>
    </row>
    <row r="89" spans="1:49" ht="30" hidden="1" customHeight="1" x14ac:dyDescent="0.3">
      <c r="A89" s="17" t="s">
        <v>325</v>
      </c>
      <c r="B89" s="17" t="s">
        <v>330</v>
      </c>
      <c r="C89" s="17" t="s">
        <v>187</v>
      </c>
      <c r="D89" s="41">
        <v>1</v>
      </c>
      <c r="E89" s="16">
        <f>TRUNC(단가대비표!O86,0)</f>
        <v>35900</v>
      </c>
      <c r="F89" s="16">
        <f t="shared" si="6"/>
        <v>35900</v>
      </c>
      <c r="G89" s="16">
        <f>TRUNC(단가대비표!P86,0)</f>
        <v>0</v>
      </c>
      <c r="H89" s="16">
        <f t="shared" si="7"/>
        <v>0</v>
      </c>
      <c r="I89" s="16">
        <f>TRUNC(단가대비표!V86,0)</f>
        <v>0</v>
      </c>
      <c r="J89" s="16">
        <f t="shared" si="8"/>
        <v>0</v>
      </c>
      <c r="K89" s="16">
        <f t="shared" si="9"/>
        <v>35900</v>
      </c>
      <c r="L89" s="16">
        <f t="shared" si="9"/>
        <v>35900</v>
      </c>
      <c r="M89" s="17" t="s">
        <v>331</v>
      </c>
      <c r="N89" s="2" t="s">
        <v>332</v>
      </c>
      <c r="O89" s="2" t="s">
        <v>51</v>
      </c>
      <c r="P89" s="2" t="s">
        <v>51</v>
      </c>
      <c r="Q89" s="2" t="s">
        <v>223</v>
      </c>
      <c r="R89" s="2" t="s">
        <v>61</v>
      </c>
      <c r="S89" s="2" t="s">
        <v>61</v>
      </c>
      <c r="T89" s="2" t="s">
        <v>60</v>
      </c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2" t="s">
        <v>51</v>
      </c>
      <c r="AS89" s="2" t="s">
        <v>51</v>
      </c>
      <c r="AT89" s="3"/>
      <c r="AU89" s="2" t="s">
        <v>333</v>
      </c>
      <c r="AV89" s="3">
        <v>65</v>
      </c>
      <c r="AW89" t="str">
        <f t="shared" si="10"/>
        <v>SCH40 그루브 관이음쇠 TEE , 100A</v>
      </c>
    </row>
    <row r="90" spans="1:49" ht="30" hidden="1" customHeight="1" x14ac:dyDescent="0.3">
      <c r="A90" s="17" t="s">
        <v>325</v>
      </c>
      <c r="B90" s="17" t="s">
        <v>334</v>
      </c>
      <c r="C90" s="17" t="s">
        <v>187</v>
      </c>
      <c r="D90" s="41">
        <v>2</v>
      </c>
      <c r="E90" s="16">
        <f>TRUNC(단가대비표!O87,0)</f>
        <v>17300</v>
      </c>
      <c r="F90" s="16">
        <f t="shared" si="6"/>
        <v>34600</v>
      </c>
      <c r="G90" s="16">
        <f>TRUNC(단가대비표!P87,0)</f>
        <v>0</v>
      </c>
      <c r="H90" s="16">
        <f t="shared" si="7"/>
        <v>0</v>
      </c>
      <c r="I90" s="16">
        <f>TRUNC(단가대비표!V87,0)</f>
        <v>0</v>
      </c>
      <c r="J90" s="16">
        <f t="shared" si="8"/>
        <v>0</v>
      </c>
      <c r="K90" s="16">
        <f t="shared" si="9"/>
        <v>17300</v>
      </c>
      <c r="L90" s="16">
        <f t="shared" si="9"/>
        <v>34600</v>
      </c>
      <c r="M90" s="17" t="s">
        <v>335</v>
      </c>
      <c r="N90" s="2" t="s">
        <v>336</v>
      </c>
      <c r="O90" s="2" t="s">
        <v>51</v>
      </c>
      <c r="P90" s="2" t="s">
        <v>51</v>
      </c>
      <c r="Q90" s="2" t="s">
        <v>223</v>
      </c>
      <c r="R90" s="2" t="s">
        <v>61</v>
      </c>
      <c r="S90" s="2" t="s">
        <v>61</v>
      </c>
      <c r="T90" s="2" t="s">
        <v>60</v>
      </c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2" t="s">
        <v>51</v>
      </c>
      <c r="AS90" s="2" t="s">
        <v>51</v>
      </c>
      <c r="AT90" s="3"/>
      <c r="AU90" s="2" t="s">
        <v>337</v>
      </c>
      <c r="AV90" s="3">
        <v>66</v>
      </c>
      <c r="AW90" t="str">
        <f t="shared" si="10"/>
        <v>SCH40 그루브 관이음쇠 TEE , 65A</v>
      </c>
    </row>
    <row r="91" spans="1:49" ht="30" hidden="1" customHeight="1" x14ac:dyDescent="0.3">
      <c r="A91" s="17" t="s">
        <v>325</v>
      </c>
      <c r="B91" s="17" t="s">
        <v>338</v>
      </c>
      <c r="C91" s="17" t="s">
        <v>187</v>
      </c>
      <c r="D91" s="41">
        <v>2</v>
      </c>
      <c r="E91" s="16">
        <f>TRUNC(단가대비표!O88,0)</f>
        <v>20100</v>
      </c>
      <c r="F91" s="16">
        <f t="shared" si="6"/>
        <v>40200</v>
      </c>
      <c r="G91" s="16">
        <f>TRUNC(단가대비표!P88,0)</f>
        <v>0</v>
      </c>
      <c r="H91" s="16">
        <f t="shared" si="7"/>
        <v>0</v>
      </c>
      <c r="I91" s="16">
        <f>TRUNC(단가대비표!V88,0)</f>
        <v>0</v>
      </c>
      <c r="J91" s="16">
        <f t="shared" si="8"/>
        <v>0</v>
      </c>
      <c r="K91" s="16">
        <f t="shared" si="9"/>
        <v>20100</v>
      </c>
      <c r="L91" s="16">
        <f t="shared" si="9"/>
        <v>40200</v>
      </c>
      <c r="M91" s="17" t="s">
        <v>339</v>
      </c>
      <c r="N91" s="2" t="s">
        <v>340</v>
      </c>
      <c r="O91" s="2" t="s">
        <v>51</v>
      </c>
      <c r="P91" s="2" t="s">
        <v>51</v>
      </c>
      <c r="Q91" s="2" t="s">
        <v>223</v>
      </c>
      <c r="R91" s="2" t="s">
        <v>61</v>
      </c>
      <c r="S91" s="2" t="s">
        <v>61</v>
      </c>
      <c r="T91" s="2" t="s">
        <v>60</v>
      </c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2" t="s">
        <v>51</v>
      </c>
      <c r="AS91" s="2" t="s">
        <v>51</v>
      </c>
      <c r="AT91" s="3"/>
      <c r="AU91" s="2" t="s">
        <v>341</v>
      </c>
      <c r="AV91" s="3">
        <v>67</v>
      </c>
      <c r="AW91" t="str">
        <f t="shared" si="10"/>
        <v>SCH40 그루브 관이음쇠 R/S , 100x65</v>
      </c>
    </row>
    <row r="92" spans="1:49" ht="30" hidden="1" customHeight="1" x14ac:dyDescent="0.3">
      <c r="A92" s="17" t="s">
        <v>325</v>
      </c>
      <c r="B92" s="17" t="s">
        <v>342</v>
      </c>
      <c r="C92" s="17" t="s">
        <v>187</v>
      </c>
      <c r="D92" s="41">
        <v>1</v>
      </c>
      <c r="E92" s="16">
        <f>TRUNC(단가대비표!O89,0)</f>
        <v>20100</v>
      </c>
      <c r="F92" s="16">
        <f t="shared" si="6"/>
        <v>20100</v>
      </c>
      <c r="G92" s="16">
        <f>TRUNC(단가대비표!P89,0)</f>
        <v>0</v>
      </c>
      <c r="H92" s="16">
        <f t="shared" si="7"/>
        <v>0</v>
      </c>
      <c r="I92" s="16">
        <f>TRUNC(단가대비표!V89,0)</f>
        <v>0</v>
      </c>
      <c r="J92" s="16">
        <f t="shared" si="8"/>
        <v>0</v>
      </c>
      <c r="K92" s="16">
        <f t="shared" si="9"/>
        <v>20100</v>
      </c>
      <c r="L92" s="16">
        <f t="shared" si="9"/>
        <v>20100</v>
      </c>
      <c r="M92" s="17" t="s">
        <v>343</v>
      </c>
      <c r="N92" s="2" t="s">
        <v>344</v>
      </c>
      <c r="O92" s="2" t="s">
        <v>51</v>
      </c>
      <c r="P92" s="2" t="s">
        <v>51</v>
      </c>
      <c r="Q92" s="2" t="s">
        <v>223</v>
      </c>
      <c r="R92" s="2" t="s">
        <v>61</v>
      </c>
      <c r="S92" s="2" t="s">
        <v>61</v>
      </c>
      <c r="T92" s="2" t="s">
        <v>60</v>
      </c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2" t="s">
        <v>51</v>
      </c>
      <c r="AS92" s="2" t="s">
        <v>51</v>
      </c>
      <c r="AT92" s="3"/>
      <c r="AU92" s="2" t="s">
        <v>345</v>
      </c>
      <c r="AV92" s="3">
        <v>68</v>
      </c>
      <c r="AW92" t="str">
        <f t="shared" si="10"/>
        <v>SCH40 그루브 관이음쇠 R/S , 100x40</v>
      </c>
    </row>
    <row r="93" spans="1:49" ht="30" hidden="1" customHeight="1" x14ac:dyDescent="0.3">
      <c r="A93" s="17" t="s">
        <v>325</v>
      </c>
      <c r="B93" s="17" t="s">
        <v>346</v>
      </c>
      <c r="C93" s="17" t="s">
        <v>187</v>
      </c>
      <c r="D93" s="41">
        <v>4</v>
      </c>
      <c r="E93" s="16">
        <f>TRUNC(단가대비표!O90,0)</f>
        <v>14300</v>
      </c>
      <c r="F93" s="16">
        <f t="shared" si="6"/>
        <v>57200</v>
      </c>
      <c r="G93" s="16">
        <f>TRUNC(단가대비표!P90,0)</f>
        <v>0</v>
      </c>
      <c r="H93" s="16">
        <f t="shared" si="7"/>
        <v>0</v>
      </c>
      <c r="I93" s="16">
        <f>TRUNC(단가대비표!V90,0)</f>
        <v>0</v>
      </c>
      <c r="J93" s="16">
        <f t="shared" si="8"/>
        <v>0</v>
      </c>
      <c r="K93" s="16">
        <f t="shared" si="9"/>
        <v>14300</v>
      </c>
      <c r="L93" s="16">
        <f t="shared" si="9"/>
        <v>57200</v>
      </c>
      <c r="M93" s="17" t="s">
        <v>347</v>
      </c>
      <c r="N93" s="2" t="s">
        <v>348</v>
      </c>
      <c r="O93" s="2" t="s">
        <v>51</v>
      </c>
      <c r="P93" s="2" t="s">
        <v>51</v>
      </c>
      <c r="Q93" s="2" t="s">
        <v>223</v>
      </c>
      <c r="R93" s="2" t="s">
        <v>61</v>
      </c>
      <c r="S93" s="2" t="s">
        <v>61</v>
      </c>
      <c r="T93" s="2" t="s">
        <v>60</v>
      </c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2" t="s">
        <v>51</v>
      </c>
      <c r="AS93" s="2" t="s">
        <v>51</v>
      </c>
      <c r="AT93" s="3"/>
      <c r="AU93" s="2" t="s">
        <v>349</v>
      </c>
      <c r="AV93" s="3">
        <v>69</v>
      </c>
      <c r="AW93" t="str">
        <f t="shared" si="10"/>
        <v>SCH40 그루브 관이음쇠 R/S , 65x50</v>
      </c>
    </row>
    <row r="94" spans="1:49" ht="30" hidden="1" customHeight="1" x14ac:dyDescent="0.3">
      <c r="A94" s="17" t="s">
        <v>350</v>
      </c>
      <c r="B94" s="17" t="s">
        <v>351</v>
      </c>
      <c r="C94" s="17" t="s">
        <v>187</v>
      </c>
      <c r="D94" s="41">
        <v>15</v>
      </c>
      <c r="E94" s="16">
        <f>TRUNC(단가대비표!O91,0)</f>
        <v>22800</v>
      </c>
      <c r="F94" s="16">
        <f t="shared" si="6"/>
        <v>342000</v>
      </c>
      <c r="G94" s="16">
        <f>TRUNC(단가대비표!P91,0)</f>
        <v>0</v>
      </c>
      <c r="H94" s="16">
        <f t="shared" si="7"/>
        <v>0</v>
      </c>
      <c r="I94" s="16">
        <f>TRUNC(단가대비표!V91,0)</f>
        <v>0</v>
      </c>
      <c r="J94" s="16">
        <f t="shared" si="8"/>
        <v>0</v>
      </c>
      <c r="K94" s="16">
        <f t="shared" si="9"/>
        <v>22800</v>
      </c>
      <c r="L94" s="16">
        <f t="shared" si="9"/>
        <v>342000</v>
      </c>
      <c r="M94" s="17" t="s">
        <v>352</v>
      </c>
      <c r="N94" s="2" t="s">
        <v>353</v>
      </c>
      <c r="O94" s="2" t="s">
        <v>51</v>
      </c>
      <c r="P94" s="2" t="s">
        <v>51</v>
      </c>
      <c r="Q94" s="2" t="s">
        <v>223</v>
      </c>
      <c r="R94" s="2" t="s">
        <v>61</v>
      </c>
      <c r="S94" s="2" t="s">
        <v>61</v>
      </c>
      <c r="T94" s="2" t="s">
        <v>60</v>
      </c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2" t="s">
        <v>51</v>
      </c>
      <c r="AS94" s="2" t="s">
        <v>51</v>
      </c>
      <c r="AT94" s="3"/>
      <c r="AU94" s="2" t="s">
        <v>354</v>
      </c>
      <c r="AV94" s="3">
        <v>70</v>
      </c>
      <c r="AW94" t="str">
        <f t="shared" si="10"/>
        <v>플렉시블 커플링(그루브) 유동식 , 100A</v>
      </c>
    </row>
    <row r="95" spans="1:49" ht="30" hidden="1" customHeight="1" x14ac:dyDescent="0.3">
      <c r="A95" s="17" t="s">
        <v>350</v>
      </c>
      <c r="B95" s="17" t="s">
        <v>355</v>
      </c>
      <c r="C95" s="17" t="s">
        <v>187</v>
      </c>
      <c r="D95" s="41">
        <v>11</v>
      </c>
      <c r="E95" s="16">
        <f>TRUNC(단가대비표!O92,0)</f>
        <v>14200</v>
      </c>
      <c r="F95" s="16">
        <f t="shared" si="6"/>
        <v>156200</v>
      </c>
      <c r="G95" s="16">
        <f>TRUNC(단가대비표!P92,0)</f>
        <v>0</v>
      </c>
      <c r="H95" s="16">
        <f t="shared" si="7"/>
        <v>0</v>
      </c>
      <c r="I95" s="16">
        <f>TRUNC(단가대비표!V92,0)</f>
        <v>0</v>
      </c>
      <c r="J95" s="16">
        <f t="shared" si="8"/>
        <v>0</v>
      </c>
      <c r="K95" s="16">
        <f t="shared" si="9"/>
        <v>14200</v>
      </c>
      <c r="L95" s="16">
        <f t="shared" si="9"/>
        <v>156200</v>
      </c>
      <c r="M95" s="17" t="s">
        <v>356</v>
      </c>
      <c r="N95" s="2" t="s">
        <v>357</v>
      </c>
      <c r="O95" s="2" t="s">
        <v>51</v>
      </c>
      <c r="P95" s="2" t="s">
        <v>51</v>
      </c>
      <c r="Q95" s="2" t="s">
        <v>223</v>
      </c>
      <c r="R95" s="2" t="s">
        <v>61</v>
      </c>
      <c r="S95" s="2" t="s">
        <v>61</v>
      </c>
      <c r="T95" s="2" t="s">
        <v>60</v>
      </c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2" t="s">
        <v>51</v>
      </c>
      <c r="AS95" s="2" t="s">
        <v>51</v>
      </c>
      <c r="AT95" s="3"/>
      <c r="AU95" s="2" t="s">
        <v>358</v>
      </c>
      <c r="AV95" s="3">
        <v>71</v>
      </c>
      <c r="AW95" t="str">
        <f t="shared" si="10"/>
        <v>플렉시블 커플링(그루브) 유동식 , 65A</v>
      </c>
    </row>
    <row r="96" spans="1:49" ht="30" hidden="1" customHeight="1" x14ac:dyDescent="0.3">
      <c r="A96" s="17" t="s">
        <v>350</v>
      </c>
      <c r="B96" s="17" t="s">
        <v>359</v>
      </c>
      <c r="C96" s="17" t="s">
        <v>187</v>
      </c>
      <c r="D96" s="41">
        <v>4</v>
      </c>
      <c r="E96" s="16">
        <f>TRUNC(단가대비표!O93,0)</f>
        <v>11300</v>
      </c>
      <c r="F96" s="16">
        <f t="shared" si="6"/>
        <v>45200</v>
      </c>
      <c r="G96" s="16">
        <f>TRUNC(단가대비표!P93,0)</f>
        <v>0</v>
      </c>
      <c r="H96" s="16">
        <f t="shared" si="7"/>
        <v>0</v>
      </c>
      <c r="I96" s="16">
        <f>TRUNC(단가대비표!V93,0)</f>
        <v>0</v>
      </c>
      <c r="J96" s="16">
        <f t="shared" si="8"/>
        <v>0</v>
      </c>
      <c r="K96" s="16">
        <f t="shared" ref="K96:L127" si="11">TRUNC(E96+G96+I96, 0)</f>
        <v>11300</v>
      </c>
      <c r="L96" s="16">
        <f t="shared" si="11"/>
        <v>45200</v>
      </c>
      <c r="M96" s="17" t="s">
        <v>360</v>
      </c>
      <c r="N96" s="2" t="s">
        <v>361</v>
      </c>
      <c r="O96" s="2" t="s">
        <v>51</v>
      </c>
      <c r="P96" s="2" t="s">
        <v>51</v>
      </c>
      <c r="Q96" s="2" t="s">
        <v>223</v>
      </c>
      <c r="R96" s="2" t="s">
        <v>61</v>
      </c>
      <c r="S96" s="2" t="s">
        <v>61</v>
      </c>
      <c r="T96" s="2" t="s">
        <v>60</v>
      </c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2" t="s">
        <v>51</v>
      </c>
      <c r="AS96" s="2" t="s">
        <v>51</v>
      </c>
      <c r="AT96" s="3"/>
      <c r="AU96" s="2" t="s">
        <v>362</v>
      </c>
      <c r="AV96" s="3">
        <v>72</v>
      </c>
      <c r="AW96" t="str">
        <f t="shared" si="10"/>
        <v>플렉시블 커플링(그루브) 유동식 , 50A</v>
      </c>
    </row>
    <row r="97" spans="1:49" ht="30" hidden="1" customHeight="1" x14ac:dyDescent="0.3">
      <c r="A97" s="17" t="s">
        <v>363</v>
      </c>
      <c r="B97" s="17" t="s">
        <v>364</v>
      </c>
      <c r="C97" s="17" t="s">
        <v>187</v>
      </c>
      <c r="D97" s="41">
        <v>20</v>
      </c>
      <c r="E97" s="16">
        <f>TRUNC(단가대비표!O94,0)</f>
        <v>20090</v>
      </c>
      <c r="F97" s="16">
        <f t="shared" si="6"/>
        <v>401800</v>
      </c>
      <c r="G97" s="16">
        <f>TRUNC(단가대비표!P94,0)</f>
        <v>0</v>
      </c>
      <c r="H97" s="16">
        <f t="shared" si="7"/>
        <v>0</v>
      </c>
      <c r="I97" s="16">
        <f>TRUNC(단가대비표!V94,0)</f>
        <v>0</v>
      </c>
      <c r="J97" s="16">
        <f t="shared" si="8"/>
        <v>0</v>
      </c>
      <c r="K97" s="16">
        <f t="shared" si="11"/>
        <v>20090</v>
      </c>
      <c r="L97" s="16">
        <f t="shared" si="11"/>
        <v>401800</v>
      </c>
      <c r="M97" s="17" t="s">
        <v>365</v>
      </c>
      <c r="N97" s="2" t="s">
        <v>366</v>
      </c>
      <c r="O97" s="2" t="s">
        <v>51</v>
      </c>
      <c r="P97" s="2" t="s">
        <v>51</v>
      </c>
      <c r="Q97" s="2" t="s">
        <v>223</v>
      </c>
      <c r="R97" s="2" t="s">
        <v>61</v>
      </c>
      <c r="S97" s="2" t="s">
        <v>61</v>
      </c>
      <c r="T97" s="2" t="s">
        <v>60</v>
      </c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2" t="s">
        <v>51</v>
      </c>
      <c r="AS97" s="2" t="s">
        <v>51</v>
      </c>
      <c r="AT97" s="3"/>
      <c r="AU97" s="2" t="s">
        <v>367</v>
      </c>
      <c r="AV97" s="3">
        <v>73</v>
      </c>
      <c r="AW97" t="str">
        <f t="shared" si="10"/>
        <v>일반단조관이음쇠 90엘보, 나사식 , 50A</v>
      </c>
    </row>
    <row r="98" spans="1:49" ht="30" hidden="1" customHeight="1" x14ac:dyDescent="0.3">
      <c r="A98" s="17" t="s">
        <v>363</v>
      </c>
      <c r="B98" s="17" t="s">
        <v>368</v>
      </c>
      <c r="C98" s="17" t="s">
        <v>187</v>
      </c>
      <c r="D98" s="41">
        <v>6</v>
      </c>
      <c r="E98" s="16">
        <f>TRUNC(단가대비표!O95,0)</f>
        <v>11930</v>
      </c>
      <c r="F98" s="16">
        <f t="shared" si="6"/>
        <v>71580</v>
      </c>
      <c r="G98" s="16">
        <f>TRUNC(단가대비표!P95,0)</f>
        <v>0</v>
      </c>
      <c r="H98" s="16">
        <f t="shared" si="7"/>
        <v>0</v>
      </c>
      <c r="I98" s="16">
        <f>TRUNC(단가대비표!V95,0)</f>
        <v>0</v>
      </c>
      <c r="J98" s="16">
        <f t="shared" si="8"/>
        <v>0</v>
      </c>
      <c r="K98" s="16">
        <f t="shared" si="11"/>
        <v>11930</v>
      </c>
      <c r="L98" s="16">
        <f t="shared" si="11"/>
        <v>71580</v>
      </c>
      <c r="M98" s="17" t="s">
        <v>369</v>
      </c>
      <c r="N98" s="2" t="s">
        <v>370</v>
      </c>
      <c r="O98" s="2" t="s">
        <v>51</v>
      </c>
      <c r="P98" s="2" t="s">
        <v>51</v>
      </c>
      <c r="Q98" s="2" t="s">
        <v>223</v>
      </c>
      <c r="R98" s="2" t="s">
        <v>61</v>
      </c>
      <c r="S98" s="2" t="s">
        <v>61</v>
      </c>
      <c r="T98" s="2" t="s">
        <v>60</v>
      </c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2" t="s">
        <v>51</v>
      </c>
      <c r="AS98" s="2" t="s">
        <v>51</v>
      </c>
      <c r="AT98" s="3"/>
      <c r="AU98" s="2" t="s">
        <v>371</v>
      </c>
      <c r="AV98" s="3">
        <v>74</v>
      </c>
      <c r="AW98" t="str">
        <f t="shared" si="10"/>
        <v>일반단조관이음쇠 90엘보, 나사식 , 40A</v>
      </c>
    </row>
    <row r="99" spans="1:49" ht="30" hidden="1" customHeight="1" x14ac:dyDescent="0.3">
      <c r="A99" s="17" t="s">
        <v>363</v>
      </c>
      <c r="B99" s="17" t="s">
        <v>372</v>
      </c>
      <c r="C99" s="17" t="s">
        <v>187</v>
      </c>
      <c r="D99" s="41">
        <v>2</v>
      </c>
      <c r="E99" s="16">
        <f>TRUNC(단가대비표!O96,0)</f>
        <v>27950</v>
      </c>
      <c r="F99" s="16">
        <f t="shared" si="6"/>
        <v>55900</v>
      </c>
      <c r="G99" s="16">
        <f>TRUNC(단가대비표!P96,0)</f>
        <v>0</v>
      </c>
      <c r="H99" s="16">
        <f t="shared" si="7"/>
        <v>0</v>
      </c>
      <c r="I99" s="16">
        <f>TRUNC(단가대비표!V96,0)</f>
        <v>0</v>
      </c>
      <c r="J99" s="16">
        <f t="shared" si="8"/>
        <v>0</v>
      </c>
      <c r="K99" s="16">
        <f t="shared" si="11"/>
        <v>27950</v>
      </c>
      <c r="L99" s="16">
        <f t="shared" si="11"/>
        <v>55900</v>
      </c>
      <c r="M99" s="17" t="s">
        <v>373</v>
      </c>
      <c r="N99" s="2" t="s">
        <v>374</v>
      </c>
      <c r="O99" s="2" t="s">
        <v>51</v>
      </c>
      <c r="P99" s="2" t="s">
        <v>51</v>
      </c>
      <c r="Q99" s="2" t="s">
        <v>223</v>
      </c>
      <c r="R99" s="2" t="s">
        <v>61</v>
      </c>
      <c r="S99" s="2" t="s">
        <v>61</v>
      </c>
      <c r="T99" s="2" t="s">
        <v>60</v>
      </c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2" t="s">
        <v>51</v>
      </c>
      <c r="AS99" s="2" t="s">
        <v>51</v>
      </c>
      <c r="AT99" s="3"/>
      <c r="AU99" s="2" t="s">
        <v>375</v>
      </c>
      <c r="AV99" s="3">
        <v>75</v>
      </c>
      <c r="AW99" t="str">
        <f t="shared" si="10"/>
        <v>일반단조관이음쇠 TEE , 나사식 , 50x40</v>
      </c>
    </row>
    <row r="100" spans="1:49" ht="30" hidden="1" customHeight="1" x14ac:dyDescent="0.3">
      <c r="A100" s="17" t="s">
        <v>363</v>
      </c>
      <c r="B100" s="17" t="s">
        <v>376</v>
      </c>
      <c r="C100" s="17" t="s">
        <v>187</v>
      </c>
      <c r="D100" s="41">
        <v>2</v>
      </c>
      <c r="E100" s="16">
        <f>TRUNC(단가대비표!O97,0)</f>
        <v>12930</v>
      </c>
      <c r="F100" s="16">
        <f t="shared" si="6"/>
        <v>25860</v>
      </c>
      <c r="G100" s="16">
        <f>TRUNC(단가대비표!P97,0)</f>
        <v>0</v>
      </c>
      <c r="H100" s="16">
        <f t="shared" si="7"/>
        <v>0</v>
      </c>
      <c r="I100" s="16">
        <f>TRUNC(단가대비표!V97,0)</f>
        <v>0</v>
      </c>
      <c r="J100" s="16">
        <f t="shared" si="8"/>
        <v>0</v>
      </c>
      <c r="K100" s="16">
        <f t="shared" si="11"/>
        <v>12930</v>
      </c>
      <c r="L100" s="16">
        <f t="shared" si="11"/>
        <v>25860</v>
      </c>
      <c r="M100" s="17" t="s">
        <v>377</v>
      </c>
      <c r="N100" s="2" t="s">
        <v>378</v>
      </c>
      <c r="O100" s="2" t="s">
        <v>51</v>
      </c>
      <c r="P100" s="2" t="s">
        <v>51</v>
      </c>
      <c r="Q100" s="2" t="s">
        <v>223</v>
      </c>
      <c r="R100" s="2" t="s">
        <v>61</v>
      </c>
      <c r="S100" s="2" t="s">
        <v>61</v>
      </c>
      <c r="T100" s="2" t="s">
        <v>60</v>
      </c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2" t="s">
        <v>51</v>
      </c>
      <c r="AS100" s="2" t="s">
        <v>51</v>
      </c>
      <c r="AT100" s="3"/>
      <c r="AU100" s="2" t="s">
        <v>379</v>
      </c>
      <c r="AV100" s="3">
        <v>76</v>
      </c>
      <c r="AW100" t="str">
        <f t="shared" si="10"/>
        <v>일반단조관이음쇠 R/S , 나사식 , 50x40</v>
      </c>
    </row>
    <row r="101" spans="1:49" ht="30" hidden="1" customHeight="1" x14ac:dyDescent="0.3">
      <c r="A101" s="17" t="s">
        <v>380</v>
      </c>
      <c r="B101" s="17" t="s">
        <v>311</v>
      </c>
      <c r="C101" s="17" t="s">
        <v>187</v>
      </c>
      <c r="D101" s="41">
        <v>4</v>
      </c>
      <c r="E101" s="16">
        <f>TRUNC(단가대비표!O98,0)</f>
        <v>880</v>
      </c>
      <c r="F101" s="16">
        <f t="shared" si="6"/>
        <v>3520</v>
      </c>
      <c r="G101" s="16">
        <f>TRUNC(단가대비표!P98,0)</f>
        <v>0</v>
      </c>
      <c r="H101" s="16">
        <f t="shared" si="7"/>
        <v>0</v>
      </c>
      <c r="I101" s="16">
        <f>TRUNC(단가대비표!V98,0)</f>
        <v>0</v>
      </c>
      <c r="J101" s="16">
        <f t="shared" si="8"/>
        <v>0</v>
      </c>
      <c r="K101" s="16">
        <f t="shared" si="11"/>
        <v>880</v>
      </c>
      <c r="L101" s="16">
        <f t="shared" si="11"/>
        <v>3520</v>
      </c>
      <c r="M101" s="17" t="s">
        <v>381</v>
      </c>
      <c r="N101" s="2" t="s">
        <v>382</v>
      </c>
      <c r="O101" s="2" t="s">
        <v>51</v>
      </c>
      <c r="P101" s="2" t="s">
        <v>51</v>
      </c>
      <c r="Q101" s="2" t="s">
        <v>223</v>
      </c>
      <c r="R101" s="2" t="s">
        <v>61</v>
      </c>
      <c r="S101" s="2" t="s">
        <v>61</v>
      </c>
      <c r="T101" s="2" t="s">
        <v>60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51</v>
      </c>
      <c r="AS101" s="2" t="s">
        <v>51</v>
      </c>
      <c r="AT101" s="3"/>
      <c r="AU101" s="2" t="s">
        <v>383</v>
      </c>
      <c r="AV101" s="3">
        <v>77</v>
      </c>
      <c r="AW101" t="str">
        <f t="shared" si="10"/>
        <v>U볼트,너트 100A</v>
      </c>
    </row>
    <row r="102" spans="1:49" ht="30" hidden="1" customHeight="1" x14ac:dyDescent="0.3">
      <c r="A102" s="17" t="s">
        <v>380</v>
      </c>
      <c r="B102" s="17" t="s">
        <v>315</v>
      </c>
      <c r="C102" s="17" t="s">
        <v>187</v>
      </c>
      <c r="D102" s="41">
        <v>2</v>
      </c>
      <c r="E102" s="16">
        <f>TRUNC(단가대비표!O99,0)</f>
        <v>638</v>
      </c>
      <c r="F102" s="16">
        <f t="shared" si="6"/>
        <v>1276</v>
      </c>
      <c r="G102" s="16">
        <f>TRUNC(단가대비표!P99,0)</f>
        <v>0</v>
      </c>
      <c r="H102" s="16">
        <f t="shared" si="7"/>
        <v>0</v>
      </c>
      <c r="I102" s="16">
        <f>TRUNC(단가대비표!V99,0)</f>
        <v>0</v>
      </c>
      <c r="J102" s="16">
        <f t="shared" si="8"/>
        <v>0</v>
      </c>
      <c r="K102" s="16">
        <f t="shared" si="11"/>
        <v>638</v>
      </c>
      <c r="L102" s="16">
        <f t="shared" si="11"/>
        <v>1276</v>
      </c>
      <c r="M102" s="17" t="s">
        <v>384</v>
      </c>
      <c r="N102" s="2" t="s">
        <v>385</v>
      </c>
      <c r="O102" s="2" t="s">
        <v>51</v>
      </c>
      <c r="P102" s="2" t="s">
        <v>51</v>
      </c>
      <c r="Q102" s="2" t="s">
        <v>223</v>
      </c>
      <c r="R102" s="2" t="s">
        <v>61</v>
      </c>
      <c r="S102" s="2" t="s">
        <v>61</v>
      </c>
      <c r="T102" s="2" t="s">
        <v>60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 t="s">
        <v>51</v>
      </c>
      <c r="AS102" s="2" t="s">
        <v>51</v>
      </c>
      <c r="AT102" s="3"/>
      <c r="AU102" s="2" t="s">
        <v>386</v>
      </c>
      <c r="AV102" s="3">
        <v>78</v>
      </c>
      <c r="AW102" t="str">
        <f t="shared" si="10"/>
        <v>U볼트,너트 65A</v>
      </c>
    </row>
    <row r="103" spans="1:49" ht="30" hidden="1" customHeight="1" x14ac:dyDescent="0.3">
      <c r="A103" s="17" t="s">
        <v>380</v>
      </c>
      <c r="B103" s="17" t="s">
        <v>265</v>
      </c>
      <c r="C103" s="17" t="s">
        <v>187</v>
      </c>
      <c r="D103" s="41">
        <v>12</v>
      </c>
      <c r="E103" s="16">
        <f>TRUNC(단가대비표!O100,0)</f>
        <v>561</v>
      </c>
      <c r="F103" s="16">
        <f t="shared" si="6"/>
        <v>6732</v>
      </c>
      <c r="G103" s="16">
        <f>TRUNC(단가대비표!P100,0)</f>
        <v>0</v>
      </c>
      <c r="H103" s="16">
        <f t="shared" si="7"/>
        <v>0</v>
      </c>
      <c r="I103" s="16">
        <f>TRUNC(단가대비표!V100,0)</f>
        <v>0</v>
      </c>
      <c r="J103" s="16">
        <f t="shared" si="8"/>
        <v>0</v>
      </c>
      <c r="K103" s="16">
        <f t="shared" si="11"/>
        <v>561</v>
      </c>
      <c r="L103" s="16">
        <f t="shared" si="11"/>
        <v>6732</v>
      </c>
      <c r="M103" s="17" t="s">
        <v>387</v>
      </c>
      <c r="N103" s="2" t="s">
        <v>388</v>
      </c>
      <c r="O103" s="2" t="s">
        <v>51</v>
      </c>
      <c r="P103" s="2" t="s">
        <v>51</v>
      </c>
      <c r="Q103" s="2" t="s">
        <v>223</v>
      </c>
      <c r="R103" s="2" t="s">
        <v>61</v>
      </c>
      <c r="S103" s="2" t="s">
        <v>61</v>
      </c>
      <c r="T103" s="2" t="s">
        <v>60</v>
      </c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2" t="s">
        <v>51</v>
      </c>
      <c r="AS103" s="2" t="s">
        <v>51</v>
      </c>
      <c r="AT103" s="3"/>
      <c r="AU103" s="2" t="s">
        <v>389</v>
      </c>
      <c r="AV103" s="3">
        <v>79</v>
      </c>
      <c r="AW103" t="str">
        <f t="shared" si="10"/>
        <v>U볼트,너트 50A</v>
      </c>
    </row>
    <row r="104" spans="1:49" ht="30" hidden="1" customHeight="1" x14ac:dyDescent="0.3">
      <c r="A104" s="17" t="s">
        <v>380</v>
      </c>
      <c r="B104" s="17" t="s">
        <v>273</v>
      </c>
      <c r="C104" s="17" t="s">
        <v>187</v>
      </c>
      <c r="D104" s="41">
        <v>4</v>
      </c>
      <c r="E104" s="16">
        <f>TRUNC(단가대비표!O101,0)</f>
        <v>506</v>
      </c>
      <c r="F104" s="16">
        <f t="shared" si="6"/>
        <v>2024</v>
      </c>
      <c r="G104" s="16">
        <f>TRUNC(단가대비표!P101,0)</f>
        <v>0</v>
      </c>
      <c r="H104" s="16">
        <f t="shared" si="7"/>
        <v>0</v>
      </c>
      <c r="I104" s="16">
        <f>TRUNC(단가대비표!V101,0)</f>
        <v>0</v>
      </c>
      <c r="J104" s="16">
        <f t="shared" si="8"/>
        <v>0</v>
      </c>
      <c r="K104" s="16">
        <f t="shared" si="11"/>
        <v>506</v>
      </c>
      <c r="L104" s="16">
        <f t="shared" si="11"/>
        <v>2024</v>
      </c>
      <c r="M104" s="17" t="s">
        <v>390</v>
      </c>
      <c r="N104" s="2" t="s">
        <v>391</v>
      </c>
      <c r="O104" s="2" t="s">
        <v>51</v>
      </c>
      <c r="P104" s="2" t="s">
        <v>51</v>
      </c>
      <c r="Q104" s="2" t="s">
        <v>223</v>
      </c>
      <c r="R104" s="2" t="s">
        <v>61</v>
      </c>
      <c r="S104" s="2" t="s">
        <v>61</v>
      </c>
      <c r="T104" s="2" t="s">
        <v>60</v>
      </c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2" t="s">
        <v>51</v>
      </c>
      <c r="AS104" s="2" t="s">
        <v>51</v>
      </c>
      <c r="AT104" s="3"/>
      <c r="AU104" s="2" t="s">
        <v>392</v>
      </c>
      <c r="AV104" s="3">
        <v>80</v>
      </c>
      <c r="AW104" t="str">
        <f t="shared" si="10"/>
        <v>U볼트,너트 40A</v>
      </c>
    </row>
    <row r="105" spans="1:49" ht="30" hidden="1" customHeight="1" x14ac:dyDescent="0.3">
      <c r="A105" s="17" t="s">
        <v>393</v>
      </c>
      <c r="B105" s="17" t="s">
        <v>394</v>
      </c>
      <c r="C105" s="17" t="s">
        <v>93</v>
      </c>
      <c r="D105" s="41">
        <v>44</v>
      </c>
      <c r="E105" s="16">
        <f>TRUNC(단가대비표!O102,0)</f>
        <v>3740</v>
      </c>
      <c r="F105" s="16">
        <f t="shared" si="6"/>
        <v>164560</v>
      </c>
      <c r="G105" s="16">
        <f>TRUNC(단가대비표!P102,0)</f>
        <v>0</v>
      </c>
      <c r="H105" s="16">
        <f t="shared" si="7"/>
        <v>0</v>
      </c>
      <c r="I105" s="16">
        <f>TRUNC(단가대비표!V102,0)</f>
        <v>0</v>
      </c>
      <c r="J105" s="16">
        <f t="shared" si="8"/>
        <v>0</v>
      </c>
      <c r="K105" s="16">
        <f t="shared" si="11"/>
        <v>3740</v>
      </c>
      <c r="L105" s="16">
        <f t="shared" si="11"/>
        <v>164560</v>
      </c>
      <c r="M105" s="17" t="s">
        <v>395</v>
      </c>
      <c r="N105" s="2" t="s">
        <v>396</v>
      </c>
      <c r="O105" s="2" t="s">
        <v>51</v>
      </c>
      <c r="P105" s="2" t="s">
        <v>51</v>
      </c>
      <c r="Q105" s="2" t="s">
        <v>223</v>
      </c>
      <c r="R105" s="2" t="s">
        <v>61</v>
      </c>
      <c r="S105" s="2" t="s">
        <v>61</v>
      </c>
      <c r="T105" s="2" t="s">
        <v>60</v>
      </c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2" t="s">
        <v>51</v>
      </c>
      <c r="AS105" s="2" t="s">
        <v>51</v>
      </c>
      <c r="AT105" s="3"/>
      <c r="AU105" s="2" t="s">
        <v>397</v>
      </c>
      <c r="AV105" s="3">
        <v>81</v>
      </c>
      <c r="AW105" t="str">
        <f t="shared" si="10"/>
        <v>인서트플레이트 150x150x6T</v>
      </c>
    </row>
    <row r="106" spans="1:49" ht="30" hidden="1" customHeight="1" x14ac:dyDescent="0.3">
      <c r="A106" s="17" t="s">
        <v>398</v>
      </c>
      <c r="B106" s="17" t="s">
        <v>399</v>
      </c>
      <c r="C106" s="17" t="s">
        <v>187</v>
      </c>
      <c r="D106" s="41">
        <v>19</v>
      </c>
      <c r="E106" s="16">
        <f>TRUNC(단가대비표!O103,0)</f>
        <v>7125</v>
      </c>
      <c r="F106" s="16">
        <f t="shared" si="6"/>
        <v>135375</v>
      </c>
      <c r="G106" s="16">
        <f>TRUNC(단가대비표!P103,0)</f>
        <v>3565</v>
      </c>
      <c r="H106" s="16">
        <f t="shared" si="7"/>
        <v>67735</v>
      </c>
      <c r="I106" s="16">
        <f>TRUNC(단가대비표!V103,0)</f>
        <v>0</v>
      </c>
      <c r="J106" s="16">
        <f t="shared" si="8"/>
        <v>0</v>
      </c>
      <c r="K106" s="16">
        <f t="shared" si="11"/>
        <v>10690</v>
      </c>
      <c r="L106" s="16">
        <f t="shared" si="11"/>
        <v>203110</v>
      </c>
      <c r="M106" s="17" t="s">
        <v>400</v>
      </c>
      <c r="N106" s="2" t="s">
        <v>401</v>
      </c>
      <c r="O106" s="2" t="s">
        <v>51</v>
      </c>
      <c r="P106" s="2" t="s">
        <v>51</v>
      </c>
      <c r="Q106" s="2" t="s">
        <v>223</v>
      </c>
      <c r="R106" s="2" t="s">
        <v>61</v>
      </c>
      <c r="S106" s="2" t="s">
        <v>61</v>
      </c>
      <c r="T106" s="2" t="s">
        <v>60</v>
      </c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2" t="s">
        <v>51</v>
      </c>
      <c r="AS106" s="2" t="s">
        <v>51</v>
      </c>
      <c r="AT106" s="3"/>
      <c r="AU106" s="2" t="s">
        <v>402</v>
      </c>
      <c r="AV106" s="3">
        <v>82</v>
      </c>
      <c r="AW106" t="str">
        <f t="shared" si="10"/>
        <v>조합페인트 2 piece</v>
      </c>
    </row>
    <row r="107" spans="1:49" ht="30" hidden="1" customHeight="1" x14ac:dyDescent="0.3">
      <c r="A107" s="17" t="s">
        <v>403</v>
      </c>
      <c r="B107" s="17" t="s">
        <v>404</v>
      </c>
      <c r="C107" s="17" t="s">
        <v>74</v>
      </c>
      <c r="D107" s="41">
        <v>48</v>
      </c>
      <c r="E107" s="16">
        <f>TRUNC(단가대비표!O104,0)</f>
        <v>4828</v>
      </c>
      <c r="F107" s="16">
        <f t="shared" si="6"/>
        <v>231744</v>
      </c>
      <c r="G107" s="16">
        <f>TRUNC(단가대비표!P104,0)</f>
        <v>0</v>
      </c>
      <c r="H107" s="16">
        <f t="shared" si="7"/>
        <v>0</v>
      </c>
      <c r="I107" s="16">
        <f>TRUNC(단가대비표!V104,0)</f>
        <v>0</v>
      </c>
      <c r="J107" s="16">
        <f t="shared" si="8"/>
        <v>0</v>
      </c>
      <c r="K107" s="16">
        <f t="shared" si="11"/>
        <v>4828</v>
      </c>
      <c r="L107" s="16">
        <f t="shared" si="11"/>
        <v>231744</v>
      </c>
      <c r="M107" s="17" t="s">
        <v>405</v>
      </c>
      <c r="N107" s="2" t="s">
        <v>406</v>
      </c>
      <c r="O107" s="2" t="s">
        <v>51</v>
      </c>
      <c r="P107" s="2" t="s">
        <v>51</v>
      </c>
      <c r="Q107" s="2" t="s">
        <v>223</v>
      </c>
      <c r="R107" s="2" t="s">
        <v>61</v>
      </c>
      <c r="S107" s="2" t="s">
        <v>61</v>
      </c>
      <c r="T107" s="2" t="s">
        <v>60</v>
      </c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2" t="s">
        <v>51</v>
      </c>
      <c r="AS107" s="2" t="s">
        <v>51</v>
      </c>
      <c r="AT107" s="3"/>
      <c r="AU107" s="2" t="s">
        <v>407</v>
      </c>
      <c r="AV107" s="3">
        <v>83</v>
      </c>
      <c r="AW107" t="str">
        <f t="shared" si="10"/>
        <v>ㄱ형강 50x50x6T</v>
      </c>
    </row>
    <row r="108" spans="1:49" ht="30" hidden="1" customHeight="1" x14ac:dyDescent="0.3">
      <c r="A108" s="17" t="s">
        <v>408</v>
      </c>
      <c r="B108" s="17" t="s">
        <v>106</v>
      </c>
      <c r="C108" s="17" t="s">
        <v>409</v>
      </c>
      <c r="D108" s="41">
        <v>4.2799999999999998E-2</v>
      </c>
      <c r="E108" s="16">
        <f>TRUNC(단가대비표!O105,0)</f>
        <v>0</v>
      </c>
      <c r="F108" s="16">
        <f t="shared" si="6"/>
        <v>0</v>
      </c>
      <c r="G108" s="16">
        <f>TRUNC(단가대비표!P105,0)</f>
        <v>5404705</v>
      </c>
      <c r="H108" s="16">
        <f t="shared" si="7"/>
        <v>231321</v>
      </c>
      <c r="I108" s="16">
        <f>TRUNC(단가대비표!V105,0)</f>
        <v>0</v>
      </c>
      <c r="J108" s="16">
        <f t="shared" si="8"/>
        <v>0</v>
      </c>
      <c r="K108" s="16">
        <f t="shared" si="11"/>
        <v>5404705</v>
      </c>
      <c r="L108" s="16">
        <f t="shared" si="11"/>
        <v>231321</v>
      </c>
      <c r="M108" s="17" t="s">
        <v>410</v>
      </c>
      <c r="N108" s="2" t="s">
        <v>411</v>
      </c>
      <c r="O108" s="2" t="s">
        <v>51</v>
      </c>
      <c r="P108" s="2" t="s">
        <v>51</v>
      </c>
      <c r="Q108" s="2" t="s">
        <v>223</v>
      </c>
      <c r="R108" s="2" t="s">
        <v>61</v>
      </c>
      <c r="S108" s="2" t="s">
        <v>61</v>
      </c>
      <c r="T108" s="2" t="s">
        <v>60</v>
      </c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2" t="s">
        <v>51</v>
      </c>
      <c r="AS108" s="2" t="s">
        <v>51</v>
      </c>
      <c r="AT108" s="3"/>
      <c r="AU108" s="2" t="s">
        <v>412</v>
      </c>
      <c r="AV108" s="3">
        <v>84</v>
      </c>
      <c r="AW108" t="str">
        <f t="shared" si="10"/>
        <v>잡철물제작설치 간단</v>
      </c>
    </row>
    <row r="109" spans="1:49" ht="30" hidden="1" customHeight="1" x14ac:dyDescent="0.3">
      <c r="A109" s="17" t="s">
        <v>413</v>
      </c>
      <c r="B109" s="17" t="s">
        <v>414</v>
      </c>
      <c r="C109" s="17" t="s">
        <v>187</v>
      </c>
      <c r="D109" s="41">
        <v>36</v>
      </c>
      <c r="E109" s="16">
        <f>TRUNC(단가대비표!O106,0)</f>
        <v>4690</v>
      </c>
      <c r="F109" s="16">
        <f t="shared" si="6"/>
        <v>168840</v>
      </c>
      <c r="G109" s="16">
        <f>TRUNC(단가대비표!P106,0)</f>
        <v>22089</v>
      </c>
      <c r="H109" s="16">
        <f t="shared" si="7"/>
        <v>795204</v>
      </c>
      <c r="I109" s="16">
        <f>TRUNC(단가대비표!V106,0)</f>
        <v>0</v>
      </c>
      <c r="J109" s="16">
        <f t="shared" si="8"/>
        <v>0</v>
      </c>
      <c r="K109" s="16">
        <f t="shared" si="11"/>
        <v>26779</v>
      </c>
      <c r="L109" s="16">
        <f t="shared" si="11"/>
        <v>964044</v>
      </c>
      <c r="M109" s="17" t="s">
        <v>415</v>
      </c>
      <c r="N109" s="2" t="s">
        <v>416</v>
      </c>
      <c r="O109" s="2" t="s">
        <v>51</v>
      </c>
      <c r="P109" s="2" t="s">
        <v>51</v>
      </c>
      <c r="Q109" s="2" t="s">
        <v>223</v>
      </c>
      <c r="R109" s="2" t="s">
        <v>61</v>
      </c>
      <c r="S109" s="2" t="s">
        <v>61</v>
      </c>
      <c r="T109" s="2" t="s">
        <v>60</v>
      </c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2" t="s">
        <v>51</v>
      </c>
      <c r="AS109" s="2" t="s">
        <v>51</v>
      </c>
      <c r="AT109" s="3"/>
      <c r="AU109" s="2" t="s">
        <v>417</v>
      </c>
      <c r="AV109" s="3">
        <v>85</v>
      </c>
      <c r="AW109" t="str">
        <f t="shared" si="10"/>
        <v>내진앙카볼트 M12</v>
      </c>
    </row>
    <row r="110" spans="1:49" ht="30" hidden="1" customHeight="1" x14ac:dyDescent="0.3">
      <c r="A110" s="17" t="s">
        <v>418</v>
      </c>
      <c r="B110" s="17" t="s">
        <v>419</v>
      </c>
      <c r="C110" s="17" t="s">
        <v>187</v>
      </c>
      <c r="D110" s="41">
        <v>196</v>
      </c>
      <c r="E110" s="16">
        <f>TRUNC(단가대비표!O107,0)</f>
        <v>550</v>
      </c>
      <c r="F110" s="16">
        <f t="shared" si="6"/>
        <v>107800</v>
      </c>
      <c r="G110" s="16">
        <f>TRUNC(단가대비표!P107,0)</f>
        <v>22089</v>
      </c>
      <c r="H110" s="16">
        <f t="shared" si="7"/>
        <v>4329444</v>
      </c>
      <c r="I110" s="16">
        <f>TRUNC(단가대비표!V107,0)</f>
        <v>0</v>
      </c>
      <c r="J110" s="16">
        <f t="shared" si="8"/>
        <v>0</v>
      </c>
      <c r="K110" s="16">
        <f t="shared" si="11"/>
        <v>22639</v>
      </c>
      <c r="L110" s="16">
        <f t="shared" si="11"/>
        <v>4437244</v>
      </c>
      <c r="M110" s="17" t="s">
        <v>420</v>
      </c>
      <c r="N110" s="2" t="s">
        <v>421</v>
      </c>
      <c r="O110" s="2" t="s">
        <v>51</v>
      </c>
      <c r="P110" s="2" t="s">
        <v>51</v>
      </c>
      <c r="Q110" s="2" t="s">
        <v>223</v>
      </c>
      <c r="R110" s="2" t="s">
        <v>61</v>
      </c>
      <c r="S110" s="2" t="s">
        <v>61</v>
      </c>
      <c r="T110" s="2" t="s">
        <v>60</v>
      </c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2" t="s">
        <v>51</v>
      </c>
      <c r="AS110" s="2" t="s">
        <v>51</v>
      </c>
      <c r="AT110" s="3"/>
      <c r="AU110" s="2" t="s">
        <v>422</v>
      </c>
      <c r="AV110" s="3">
        <v>86</v>
      </c>
      <c r="AW110" t="str">
        <f t="shared" si="10"/>
        <v>셋트앙카볼트 	3/8×70(9×70)</v>
      </c>
    </row>
    <row r="111" spans="1:49" ht="30" hidden="1" customHeight="1" x14ac:dyDescent="0.3">
      <c r="A111" s="17" t="s">
        <v>423</v>
      </c>
      <c r="B111" s="17" t="s">
        <v>424</v>
      </c>
      <c r="C111" s="17" t="s">
        <v>93</v>
      </c>
      <c r="D111" s="41">
        <v>1</v>
      </c>
      <c r="E111" s="16">
        <f>TRUNC(단가대비표!O108,0)</f>
        <v>0</v>
      </c>
      <c r="F111" s="16">
        <f t="shared" si="6"/>
        <v>0</v>
      </c>
      <c r="G111" s="16">
        <f>TRUNC(단가대비표!P108,0)</f>
        <v>386044</v>
      </c>
      <c r="H111" s="16">
        <f t="shared" si="7"/>
        <v>386044</v>
      </c>
      <c r="I111" s="16">
        <f>TRUNC(단가대비표!V108,0)</f>
        <v>0</v>
      </c>
      <c r="J111" s="16">
        <f t="shared" si="8"/>
        <v>0</v>
      </c>
      <c r="K111" s="16">
        <f t="shared" si="11"/>
        <v>386044</v>
      </c>
      <c r="L111" s="16">
        <f t="shared" si="11"/>
        <v>386044</v>
      </c>
      <c r="M111" s="17" t="s">
        <v>425</v>
      </c>
      <c r="N111" s="2" t="s">
        <v>426</v>
      </c>
      <c r="O111" s="2" t="s">
        <v>51</v>
      </c>
      <c r="P111" s="2" t="s">
        <v>51</v>
      </c>
      <c r="Q111" s="2" t="s">
        <v>223</v>
      </c>
      <c r="R111" s="2" t="s">
        <v>61</v>
      </c>
      <c r="S111" s="2" t="s">
        <v>61</v>
      </c>
      <c r="T111" s="2" t="s">
        <v>60</v>
      </c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2" t="s">
        <v>51</v>
      </c>
      <c r="AS111" s="2" t="s">
        <v>51</v>
      </c>
      <c r="AT111" s="3"/>
      <c r="AU111" s="2" t="s">
        <v>427</v>
      </c>
      <c r="AV111" s="3">
        <v>87</v>
      </c>
      <c r="AW111" t="str">
        <f t="shared" si="10"/>
        <v>벽체타공(과압배출구설치) 600mm</v>
      </c>
    </row>
    <row r="112" spans="1:49" ht="30" hidden="1" customHeight="1" x14ac:dyDescent="0.3">
      <c r="A112" s="17" t="s">
        <v>423</v>
      </c>
      <c r="B112" s="17" t="s">
        <v>428</v>
      </c>
      <c r="C112" s="17" t="s">
        <v>93</v>
      </c>
      <c r="D112" s="41">
        <v>1</v>
      </c>
      <c r="E112" s="16">
        <f>TRUNC(단가대비표!O109,0)</f>
        <v>0</v>
      </c>
      <c r="F112" s="16">
        <f t="shared" si="6"/>
        <v>0</v>
      </c>
      <c r="G112" s="16">
        <f>TRUNC(단가대비표!P109,0)</f>
        <v>215392</v>
      </c>
      <c r="H112" s="16">
        <f t="shared" si="7"/>
        <v>215392</v>
      </c>
      <c r="I112" s="16">
        <f>TRUNC(단가대비표!V109,0)</f>
        <v>0</v>
      </c>
      <c r="J112" s="16">
        <f t="shared" si="8"/>
        <v>0</v>
      </c>
      <c r="K112" s="16">
        <f t="shared" si="11"/>
        <v>215392</v>
      </c>
      <c r="L112" s="16">
        <f t="shared" si="11"/>
        <v>215392</v>
      </c>
      <c r="M112" s="17" t="s">
        <v>429</v>
      </c>
      <c r="N112" s="2" t="s">
        <v>430</v>
      </c>
      <c r="O112" s="2" t="s">
        <v>51</v>
      </c>
      <c r="P112" s="2" t="s">
        <v>51</v>
      </c>
      <c r="Q112" s="2" t="s">
        <v>223</v>
      </c>
      <c r="R112" s="2" t="s">
        <v>61</v>
      </c>
      <c r="S112" s="2" t="s">
        <v>61</v>
      </c>
      <c r="T112" s="2" t="s">
        <v>60</v>
      </c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2" t="s">
        <v>51</v>
      </c>
      <c r="AS112" s="2" t="s">
        <v>51</v>
      </c>
      <c r="AT112" s="3"/>
      <c r="AU112" s="2" t="s">
        <v>431</v>
      </c>
      <c r="AV112" s="3">
        <v>88</v>
      </c>
      <c r="AW112" t="str">
        <f t="shared" si="10"/>
        <v>벽체타공(과압배출구설치) 400mm</v>
      </c>
    </row>
    <row r="113" spans="1:49" ht="30" hidden="1" customHeight="1" x14ac:dyDescent="0.3">
      <c r="A113" s="17" t="s">
        <v>423</v>
      </c>
      <c r="B113" s="17" t="s">
        <v>432</v>
      </c>
      <c r="C113" s="17" t="s">
        <v>93</v>
      </c>
      <c r="D113" s="41">
        <v>3</v>
      </c>
      <c r="E113" s="16">
        <f>TRUNC(단가대비표!O110,0)</f>
        <v>0</v>
      </c>
      <c r="F113" s="16">
        <f t="shared" si="6"/>
        <v>0</v>
      </c>
      <c r="G113" s="16">
        <f>TRUNC(단가대비표!P110,0)</f>
        <v>171838</v>
      </c>
      <c r="H113" s="16">
        <f t="shared" si="7"/>
        <v>515514</v>
      </c>
      <c r="I113" s="16">
        <f>TRUNC(단가대비표!V110,0)</f>
        <v>0</v>
      </c>
      <c r="J113" s="16">
        <f t="shared" si="8"/>
        <v>0</v>
      </c>
      <c r="K113" s="16">
        <f t="shared" si="11"/>
        <v>171838</v>
      </c>
      <c r="L113" s="16">
        <f t="shared" si="11"/>
        <v>515514</v>
      </c>
      <c r="M113" s="17" t="s">
        <v>433</v>
      </c>
      <c r="N113" s="2" t="s">
        <v>434</v>
      </c>
      <c r="O113" s="2" t="s">
        <v>51</v>
      </c>
      <c r="P113" s="2" t="s">
        <v>51</v>
      </c>
      <c r="Q113" s="2" t="s">
        <v>223</v>
      </c>
      <c r="R113" s="2" t="s">
        <v>61</v>
      </c>
      <c r="S113" s="2" t="s">
        <v>61</v>
      </c>
      <c r="T113" s="2" t="s">
        <v>60</v>
      </c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2" t="s">
        <v>51</v>
      </c>
      <c r="AS113" s="2" t="s">
        <v>51</v>
      </c>
      <c r="AT113" s="3"/>
      <c r="AU113" s="2" t="s">
        <v>435</v>
      </c>
      <c r="AV113" s="3">
        <v>89</v>
      </c>
      <c r="AW113" t="str">
        <f t="shared" si="10"/>
        <v>벽체타공(과압배출구설치) 300mm</v>
      </c>
    </row>
    <row r="114" spans="1:49" ht="30" hidden="1" customHeight="1" x14ac:dyDescent="0.3">
      <c r="A114" s="17" t="s">
        <v>423</v>
      </c>
      <c r="B114" s="17" t="s">
        <v>436</v>
      </c>
      <c r="C114" s="17" t="s">
        <v>93</v>
      </c>
      <c r="D114" s="41">
        <v>1</v>
      </c>
      <c r="E114" s="16">
        <f>TRUNC(단가대비표!O111,0)</f>
        <v>0</v>
      </c>
      <c r="F114" s="16">
        <f t="shared" si="6"/>
        <v>0</v>
      </c>
      <c r="G114" s="16">
        <f>TRUNC(단가대비표!P111,0)</f>
        <v>127493</v>
      </c>
      <c r="H114" s="16">
        <f t="shared" si="7"/>
        <v>127493</v>
      </c>
      <c r="I114" s="16">
        <f>TRUNC(단가대비표!V111,0)</f>
        <v>0</v>
      </c>
      <c r="J114" s="16">
        <f t="shared" si="8"/>
        <v>0</v>
      </c>
      <c r="K114" s="16">
        <f t="shared" si="11"/>
        <v>127493</v>
      </c>
      <c r="L114" s="16">
        <f t="shared" si="11"/>
        <v>127493</v>
      </c>
      <c r="M114" s="17" t="s">
        <v>437</v>
      </c>
      <c r="N114" s="2" t="s">
        <v>438</v>
      </c>
      <c r="O114" s="2" t="s">
        <v>51</v>
      </c>
      <c r="P114" s="2" t="s">
        <v>51</v>
      </c>
      <c r="Q114" s="2" t="s">
        <v>223</v>
      </c>
      <c r="R114" s="2" t="s">
        <v>61</v>
      </c>
      <c r="S114" s="2" t="s">
        <v>61</v>
      </c>
      <c r="T114" s="2" t="s">
        <v>60</v>
      </c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2" t="s">
        <v>51</v>
      </c>
      <c r="AS114" s="2" t="s">
        <v>51</v>
      </c>
      <c r="AT114" s="3"/>
      <c r="AU114" s="2" t="s">
        <v>439</v>
      </c>
      <c r="AV114" s="3">
        <v>90</v>
      </c>
      <c r="AW114" t="str">
        <f t="shared" si="10"/>
        <v>벽체타공(과압배출구설치) 200mm</v>
      </c>
    </row>
    <row r="115" spans="1:49" ht="30" hidden="1" customHeight="1" x14ac:dyDescent="0.3">
      <c r="A115" s="17" t="s">
        <v>440</v>
      </c>
      <c r="B115" s="17" t="s">
        <v>441</v>
      </c>
      <c r="C115" s="17" t="s">
        <v>442</v>
      </c>
      <c r="D115" s="41">
        <v>12</v>
      </c>
      <c r="E115" s="16">
        <f>TRUNC(단가대비표!O112,0)</f>
        <v>201017</v>
      </c>
      <c r="F115" s="16">
        <f t="shared" si="6"/>
        <v>2412204</v>
      </c>
      <c r="G115" s="16">
        <f>TRUNC(단가대비표!P112,0)</f>
        <v>0</v>
      </c>
      <c r="H115" s="16">
        <f t="shared" si="7"/>
        <v>0</v>
      </c>
      <c r="I115" s="16">
        <f>TRUNC(단가대비표!V112,0)</f>
        <v>0</v>
      </c>
      <c r="J115" s="16">
        <f t="shared" si="8"/>
        <v>0</v>
      </c>
      <c r="K115" s="16">
        <f t="shared" si="11"/>
        <v>201017</v>
      </c>
      <c r="L115" s="16">
        <f t="shared" si="11"/>
        <v>2412204</v>
      </c>
      <c r="M115" s="17" t="s">
        <v>443</v>
      </c>
      <c r="N115" s="2" t="s">
        <v>444</v>
      </c>
      <c r="O115" s="2" t="s">
        <v>51</v>
      </c>
      <c r="P115" s="2" t="s">
        <v>51</v>
      </c>
      <c r="Q115" s="2" t="s">
        <v>223</v>
      </c>
      <c r="R115" s="2" t="s">
        <v>61</v>
      </c>
      <c r="S115" s="2" t="s">
        <v>61</v>
      </c>
      <c r="T115" s="2" t="s">
        <v>60</v>
      </c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2" t="s">
        <v>51</v>
      </c>
      <c r="AS115" s="2" t="s">
        <v>51</v>
      </c>
      <c r="AT115" s="3"/>
      <c r="AU115" s="2" t="s">
        <v>445</v>
      </c>
      <c r="AV115" s="3">
        <v>91</v>
      </c>
      <c r="AW115" t="str">
        <f t="shared" si="10"/>
        <v>제품검사비(설계심사) 1구역</v>
      </c>
    </row>
    <row r="116" spans="1:49" ht="30" hidden="1" customHeight="1" x14ac:dyDescent="0.3">
      <c r="A116" s="17" t="s">
        <v>446</v>
      </c>
      <c r="B116" s="17" t="s">
        <v>447</v>
      </c>
      <c r="C116" s="17" t="s">
        <v>448</v>
      </c>
      <c r="D116" s="41">
        <v>26620</v>
      </c>
      <c r="E116" s="16">
        <f>TRUNC(단가대비표!O113,0)</f>
        <v>25</v>
      </c>
      <c r="F116" s="16">
        <f t="shared" si="6"/>
        <v>665500</v>
      </c>
      <c r="G116" s="16">
        <f>TRUNC(단가대비표!P113,0)</f>
        <v>443</v>
      </c>
      <c r="H116" s="16">
        <f t="shared" si="7"/>
        <v>11792660</v>
      </c>
      <c r="I116" s="16">
        <f>TRUNC(단가대비표!V113,0)</f>
        <v>0</v>
      </c>
      <c r="J116" s="16">
        <f t="shared" si="8"/>
        <v>0</v>
      </c>
      <c r="K116" s="16">
        <f t="shared" si="11"/>
        <v>468</v>
      </c>
      <c r="L116" s="16">
        <f t="shared" si="11"/>
        <v>12458160</v>
      </c>
      <c r="M116" s="17" t="s">
        <v>449</v>
      </c>
      <c r="N116" s="2" t="s">
        <v>450</v>
      </c>
      <c r="O116" s="2" t="s">
        <v>51</v>
      </c>
      <c r="P116" s="2" t="s">
        <v>51</v>
      </c>
      <c r="Q116" s="2" t="s">
        <v>223</v>
      </c>
      <c r="R116" s="2" t="s">
        <v>61</v>
      </c>
      <c r="S116" s="2" t="s">
        <v>61</v>
      </c>
      <c r="T116" s="2" t="s">
        <v>60</v>
      </c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2" t="s">
        <v>51</v>
      </c>
      <c r="AS116" s="2" t="s">
        <v>51</v>
      </c>
      <c r="AT116" s="3"/>
      <c r="AU116" s="2" t="s">
        <v>451</v>
      </c>
      <c r="AV116" s="3">
        <v>92</v>
      </c>
      <c r="AW116" t="str">
        <f t="shared" si="10"/>
        <v>피스톤릴리즈댐퍼 (STL)특수각형댐퍼,상대익형날개</v>
      </c>
    </row>
    <row r="117" spans="1:49" ht="30" hidden="1" customHeight="1" x14ac:dyDescent="0.3">
      <c r="A117" s="17" t="s">
        <v>452</v>
      </c>
      <c r="B117" s="17" t="s">
        <v>453</v>
      </c>
      <c r="C117" s="17" t="s">
        <v>132</v>
      </c>
      <c r="D117" s="41">
        <v>7</v>
      </c>
      <c r="E117" s="16">
        <f>TRUNC(단가대비표!O114,0)</f>
        <v>120000</v>
      </c>
      <c r="F117" s="16">
        <f t="shared" si="6"/>
        <v>840000</v>
      </c>
      <c r="G117" s="16">
        <f>TRUNC(단가대비표!P114,0)</f>
        <v>0</v>
      </c>
      <c r="H117" s="16">
        <f t="shared" si="7"/>
        <v>0</v>
      </c>
      <c r="I117" s="16">
        <f>TRUNC(단가대비표!V114,0)</f>
        <v>0</v>
      </c>
      <c r="J117" s="16">
        <f t="shared" si="8"/>
        <v>0</v>
      </c>
      <c r="K117" s="16">
        <f t="shared" si="11"/>
        <v>120000</v>
      </c>
      <c r="L117" s="16">
        <f t="shared" si="11"/>
        <v>840000</v>
      </c>
      <c r="M117" s="17" t="s">
        <v>454</v>
      </c>
      <c r="N117" s="2" t="s">
        <v>455</v>
      </c>
      <c r="O117" s="2" t="s">
        <v>51</v>
      </c>
      <c r="P117" s="2" t="s">
        <v>51</v>
      </c>
      <c r="Q117" s="2" t="s">
        <v>223</v>
      </c>
      <c r="R117" s="2" t="s">
        <v>61</v>
      </c>
      <c r="S117" s="2" t="s">
        <v>61</v>
      </c>
      <c r="T117" s="2" t="s">
        <v>60</v>
      </c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2" t="s">
        <v>51</v>
      </c>
      <c r="AS117" s="2" t="s">
        <v>51</v>
      </c>
      <c r="AT117" s="3"/>
      <c r="AU117" s="2" t="s">
        <v>456</v>
      </c>
      <c r="AV117" s="3">
        <v>93</v>
      </c>
      <c r="AW117" t="str">
        <f t="shared" si="10"/>
        <v>피스톤릴리즈 일반피스톤</v>
      </c>
    </row>
    <row r="118" spans="1:49" ht="30" hidden="1" customHeight="1" x14ac:dyDescent="0.3">
      <c r="A118" s="17" t="s">
        <v>457</v>
      </c>
      <c r="B118" s="17" t="s">
        <v>251</v>
      </c>
      <c r="C118" s="17" t="s">
        <v>57</v>
      </c>
      <c r="D118" s="41">
        <v>71</v>
      </c>
      <c r="E118" s="16">
        <f>TRUNC(단가대비표!O115,0)</f>
        <v>6000</v>
      </c>
      <c r="F118" s="16">
        <f t="shared" si="6"/>
        <v>426000</v>
      </c>
      <c r="G118" s="16">
        <f>TRUNC(단가대비표!P115,0)</f>
        <v>4008</v>
      </c>
      <c r="H118" s="16">
        <f t="shared" si="7"/>
        <v>284568</v>
      </c>
      <c r="I118" s="16">
        <f>TRUNC(단가대비표!V115,0)</f>
        <v>0</v>
      </c>
      <c r="J118" s="16">
        <f t="shared" si="8"/>
        <v>0</v>
      </c>
      <c r="K118" s="16">
        <f t="shared" si="11"/>
        <v>10008</v>
      </c>
      <c r="L118" s="16">
        <f t="shared" si="11"/>
        <v>710568</v>
      </c>
      <c r="M118" s="17" t="s">
        <v>458</v>
      </c>
      <c r="N118" s="2" t="s">
        <v>459</v>
      </c>
      <c r="O118" s="2" t="s">
        <v>51</v>
      </c>
      <c r="P118" s="2" t="s">
        <v>51</v>
      </c>
      <c r="Q118" s="2" t="s">
        <v>223</v>
      </c>
      <c r="R118" s="2" t="s">
        <v>61</v>
      </c>
      <c r="S118" s="2" t="s">
        <v>61</v>
      </c>
      <c r="T118" s="2" t="s">
        <v>60</v>
      </c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2" t="s">
        <v>51</v>
      </c>
      <c r="AS118" s="2" t="s">
        <v>51</v>
      </c>
      <c r="AT118" s="3"/>
      <c r="AU118" s="2" t="s">
        <v>460</v>
      </c>
      <c r="AV118" s="3">
        <v>94</v>
      </c>
      <c r="AW118" t="str">
        <f t="shared" si="10"/>
        <v>동관 6A</v>
      </c>
    </row>
    <row r="119" spans="1:49" ht="30" hidden="1" customHeight="1" x14ac:dyDescent="0.3">
      <c r="A119" s="17" t="s">
        <v>461</v>
      </c>
      <c r="B119" s="17" t="s">
        <v>251</v>
      </c>
      <c r="C119" s="17" t="s">
        <v>187</v>
      </c>
      <c r="D119" s="41">
        <v>4</v>
      </c>
      <c r="E119" s="16">
        <f>TRUNC(단가대비표!O116,0)</f>
        <v>25000</v>
      </c>
      <c r="F119" s="16">
        <f t="shared" si="6"/>
        <v>100000</v>
      </c>
      <c r="G119" s="16">
        <f>TRUNC(단가대비표!P116,0)</f>
        <v>24907</v>
      </c>
      <c r="H119" s="16">
        <f t="shared" si="7"/>
        <v>99628</v>
      </c>
      <c r="I119" s="16">
        <f>TRUNC(단가대비표!V116,0)</f>
        <v>0</v>
      </c>
      <c r="J119" s="16">
        <f t="shared" si="8"/>
        <v>0</v>
      </c>
      <c r="K119" s="16">
        <f t="shared" si="11"/>
        <v>49907</v>
      </c>
      <c r="L119" s="16">
        <f t="shared" si="11"/>
        <v>199628</v>
      </c>
      <c r="M119" s="17" t="s">
        <v>462</v>
      </c>
      <c r="N119" s="2" t="s">
        <v>463</v>
      </c>
      <c r="O119" s="2" t="s">
        <v>51</v>
      </c>
      <c r="P119" s="2" t="s">
        <v>51</v>
      </c>
      <c r="Q119" s="2" t="s">
        <v>223</v>
      </c>
      <c r="R119" s="2" t="s">
        <v>61</v>
      </c>
      <c r="S119" s="2" t="s">
        <v>61</v>
      </c>
      <c r="T119" s="2" t="s">
        <v>60</v>
      </c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2" t="s">
        <v>51</v>
      </c>
      <c r="AS119" s="2" t="s">
        <v>51</v>
      </c>
      <c r="AT119" s="3"/>
      <c r="AU119" s="2" t="s">
        <v>464</v>
      </c>
      <c r="AV119" s="3">
        <v>95</v>
      </c>
      <c r="AW119" t="str">
        <f t="shared" si="10"/>
        <v>동체크밸브 6A</v>
      </c>
    </row>
    <row r="120" spans="1:49" ht="30" hidden="1" customHeight="1" x14ac:dyDescent="0.3">
      <c r="A120" s="17" t="s">
        <v>465</v>
      </c>
      <c r="B120" s="17" t="s">
        <v>251</v>
      </c>
      <c r="C120" s="17" t="s">
        <v>187</v>
      </c>
      <c r="D120" s="41">
        <v>6</v>
      </c>
      <c r="E120" s="16">
        <f>TRUNC(단가대비표!O117,0)</f>
        <v>6000</v>
      </c>
      <c r="F120" s="16">
        <f t="shared" si="6"/>
        <v>36000</v>
      </c>
      <c r="G120" s="16">
        <f>TRUNC(단가대비표!P117,0)</f>
        <v>0</v>
      </c>
      <c r="H120" s="16">
        <f t="shared" si="7"/>
        <v>0</v>
      </c>
      <c r="I120" s="16">
        <f>TRUNC(단가대비표!V117,0)</f>
        <v>0</v>
      </c>
      <c r="J120" s="16">
        <f t="shared" si="8"/>
        <v>0</v>
      </c>
      <c r="K120" s="16">
        <f t="shared" si="11"/>
        <v>6000</v>
      </c>
      <c r="L120" s="16">
        <f t="shared" si="11"/>
        <v>36000</v>
      </c>
      <c r="M120" s="17" t="s">
        <v>466</v>
      </c>
      <c r="N120" s="2" t="s">
        <v>467</v>
      </c>
      <c r="O120" s="2" t="s">
        <v>51</v>
      </c>
      <c r="P120" s="2" t="s">
        <v>51</v>
      </c>
      <c r="Q120" s="2" t="s">
        <v>223</v>
      </c>
      <c r="R120" s="2" t="s">
        <v>61</v>
      </c>
      <c r="S120" s="2" t="s">
        <v>61</v>
      </c>
      <c r="T120" s="2" t="s">
        <v>60</v>
      </c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2" t="s">
        <v>51</v>
      </c>
      <c r="AS120" s="2" t="s">
        <v>51</v>
      </c>
      <c r="AT120" s="3"/>
      <c r="AU120" s="2" t="s">
        <v>468</v>
      </c>
      <c r="AV120" s="3">
        <v>96</v>
      </c>
      <c r="AW120" t="str">
        <f t="shared" si="10"/>
        <v>동티 6A</v>
      </c>
    </row>
    <row r="121" spans="1:49" ht="30" hidden="1" customHeight="1" x14ac:dyDescent="0.3">
      <c r="A121" s="17" t="s">
        <v>469</v>
      </c>
      <c r="B121" s="17" t="s">
        <v>251</v>
      </c>
      <c r="C121" s="17" t="s">
        <v>187</v>
      </c>
      <c r="D121" s="41">
        <v>6</v>
      </c>
      <c r="E121" s="16">
        <f>TRUNC(단가대비표!O118,0)</f>
        <v>540</v>
      </c>
      <c r="F121" s="16">
        <f t="shared" si="6"/>
        <v>3240</v>
      </c>
      <c r="G121" s="16">
        <f>TRUNC(단가대비표!P118,0)</f>
        <v>0</v>
      </c>
      <c r="H121" s="16">
        <f t="shared" si="7"/>
        <v>0</v>
      </c>
      <c r="I121" s="16">
        <f>TRUNC(단가대비표!V118,0)</f>
        <v>0</v>
      </c>
      <c r="J121" s="16">
        <f t="shared" si="8"/>
        <v>0</v>
      </c>
      <c r="K121" s="16">
        <f t="shared" si="11"/>
        <v>540</v>
      </c>
      <c r="L121" s="16">
        <f t="shared" si="11"/>
        <v>3240</v>
      </c>
      <c r="M121" s="17" t="s">
        <v>470</v>
      </c>
      <c r="N121" s="2" t="s">
        <v>471</v>
      </c>
      <c r="O121" s="2" t="s">
        <v>51</v>
      </c>
      <c r="P121" s="2" t="s">
        <v>51</v>
      </c>
      <c r="Q121" s="2" t="s">
        <v>223</v>
      </c>
      <c r="R121" s="2" t="s">
        <v>61</v>
      </c>
      <c r="S121" s="2" t="s">
        <v>61</v>
      </c>
      <c r="T121" s="2" t="s">
        <v>60</v>
      </c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2" t="s">
        <v>51</v>
      </c>
      <c r="AS121" s="2" t="s">
        <v>51</v>
      </c>
      <c r="AT121" s="3"/>
      <c r="AU121" s="2" t="s">
        <v>472</v>
      </c>
      <c r="AV121" s="3">
        <v>97</v>
      </c>
      <c r="AW121" t="str">
        <f t="shared" si="10"/>
        <v>동소켓 6A</v>
      </c>
    </row>
    <row r="122" spans="1:49" ht="30" hidden="1" customHeight="1" x14ac:dyDescent="0.3">
      <c r="A122" s="17" t="s">
        <v>473</v>
      </c>
      <c r="B122" s="17" t="s">
        <v>474</v>
      </c>
      <c r="C122" s="17" t="s">
        <v>187</v>
      </c>
      <c r="D122" s="41">
        <v>4</v>
      </c>
      <c r="E122" s="16">
        <f>TRUNC(단가대비표!O119,0)</f>
        <v>2610</v>
      </c>
      <c r="F122" s="16">
        <f t="shared" si="6"/>
        <v>10440</v>
      </c>
      <c r="G122" s="16">
        <f>TRUNC(단가대비표!P119,0)</f>
        <v>0</v>
      </c>
      <c r="H122" s="16">
        <f t="shared" si="7"/>
        <v>0</v>
      </c>
      <c r="I122" s="16">
        <f>TRUNC(단가대비표!V119,0)</f>
        <v>0</v>
      </c>
      <c r="J122" s="16">
        <f t="shared" si="8"/>
        <v>0</v>
      </c>
      <c r="K122" s="16">
        <f t="shared" si="11"/>
        <v>2610</v>
      </c>
      <c r="L122" s="16">
        <f t="shared" si="11"/>
        <v>10440</v>
      </c>
      <c r="M122" s="17" t="s">
        <v>475</v>
      </c>
      <c r="N122" s="2" t="s">
        <v>476</v>
      </c>
      <c r="O122" s="2" t="s">
        <v>51</v>
      </c>
      <c r="P122" s="2" t="s">
        <v>51</v>
      </c>
      <c r="Q122" s="2" t="s">
        <v>223</v>
      </c>
      <c r="R122" s="2" t="s">
        <v>61</v>
      </c>
      <c r="S122" s="2" t="s">
        <v>61</v>
      </c>
      <c r="T122" s="2" t="s">
        <v>60</v>
      </c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2" t="s">
        <v>51</v>
      </c>
      <c r="AS122" s="2" t="s">
        <v>51</v>
      </c>
      <c r="AT122" s="3"/>
      <c r="AU122" s="2" t="s">
        <v>477</v>
      </c>
      <c r="AV122" s="3">
        <v>98</v>
      </c>
      <c r="AW122" t="str">
        <f t="shared" si="10"/>
        <v>단조소켓 15A</v>
      </c>
    </row>
    <row r="123" spans="1:49" ht="30" hidden="1" customHeight="1" x14ac:dyDescent="0.3">
      <c r="A123" s="17" t="s">
        <v>478</v>
      </c>
      <c r="B123" s="17" t="s">
        <v>479</v>
      </c>
      <c r="C123" s="17" t="s">
        <v>187</v>
      </c>
      <c r="D123" s="41">
        <v>4</v>
      </c>
      <c r="E123" s="16">
        <f>TRUNC(단가대비표!O120,0)</f>
        <v>710</v>
      </c>
      <c r="F123" s="16">
        <f t="shared" si="6"/>
        <v>2840</v>
      </c>
      <c r="G123" s="16">
        <f>TRUNC(단가대비표!P120,0)</f>
        <v>0</v>
      </c>
      <c r="H123" s="16">
        <f t="shared" si="7"/>
        <v>0</v>
      </c>
      <c r="I123" s="16">
        <f>TRUNC(단가대비표!V120,0)</f>
        <v>0</v>
      </c>
      <c r="J123" s="16">
        <f t="shared" si="8"/>
        <v>0</v>
      </c>
      <c r="K123" s="16">
        <f t="shared" si="11"/>
        <v>710</v>
      </c>
      <c r="L123" s="16">
        <f t="shared" si="11"/>
        <v>2840</v>
      </c>
      <c r="M123" s="17" t="s">
        <v>480</v>
      </c>
      <c r="N123" s="2" t="s">
        <v>481</v>
      </c>
      <c r="O123" s="2" t="s">
        <v>51</v>
      </c>
      <c r="P123" s="2" t="s">
        <v>51</v>
      </c>
      <c r="Q123" s="2" t="s">
        <v>223</v>
      </c>
      <c r="R123" s="2" t="s">
        <v>61</v>
      </c>
      <c r="S123" s="2" t="s">
        <v>61</v>
      </c>
      <c r="T123" s="2" t="s">
        <v>60</v>
      </c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2" t="s">
        <v>51</v>
      </c>
      <c r="AS123" s="2" t="s">
        <v>51</v>
      </c>
      <c r="AT123" s="3"/>
      <c r="AU123" s="2" t="s">
        <v>482</v>
      </c>
      <c r="AV123" s="3">
        <v>99</v>
      </c>
      <c r="AW123" t="str">
        <f t="shared" si="10"/>
        <v>동어댑터 15A x 6A</v>
      </c>
    </row>
    <row r="124" spans="1:49" ht="30" hidden="1" customHeight="1" x14ac:dyDescent="0.3">
      <c r="A124" s="17" t="s">
        <v>483</v>
      </c>
      <c r="B124" s="17" t="s">
        <v>484</v>
      </c>
      <c r="C124" s="17" t="s">
        <v>187</v>
      </c>
      <c r="D124" s="41">
        <v>4</v>
      </c>
      <c r="E124" s="16">
        <f>TRUNC(단가대비표!O121,0)</f>
        <v>25000</v>
      </c>
      <c r="F124" s="16">
        <f t="shared" si="6"/>
        <v>100000</v>
      </c>
      <c r="G124" s="16">
        <f>TRUNC(단가대비표!P121,0)</f>
        <v>102119</v>
      </c>
      <c r="H124" s="16">
        <f t="shared" si="7"/>
        <v>408476</v>
      </c>
      <c r="I124" s="16">
        <f>TRUNC(단가대비표!V121,0)</f>
        <v>0</v>
      </c>
      <c r="J124" s="16">
        <f t="shared" si="8"/>
        <v>0</v>
      </c>
      <c r="K124" s="16">
        <f t="shared" si="11"/>
        <v>127119</v>
      </c>
      <c r="L124" s="16">
        <f t="shared" si="11"/>
        <v>508476</v>
      </c>
      <c r="M124" s="17" t="s">
        <v>485</v>
      </c>
      <c r="N124" s="2" t="s">
        <v>486</v>
      </c>
      <c r="O124" s="2" t="s">
        <v>51</v>
      </c>
      <c r="P124" s="2" t="s">
        <v>51</v>
      </c>
      <c r="Q124" s="2" t="s">
        <v>223</v>
      </c>
      <c r="R124" s="2" t="s">
        <v>61</v>
      </c>
      <c r="S124" s="2" t="s">
        <v>61</v>
      </c>
      <c r="T124" s="2" t="s">
        <v>60</v>
      </c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2" t="s">
        <v>51</v>
      </c>
      <c r="AS124" s="2" t="s">
        <v>51</v>
      </c>
      <c r="AT124" s="3"/>
      <c r="AU124" s="2" t="s">
        <v>487</v>
      </c>
      <c r="AV124" s="3">
        <v>100</v>
      </c>
      <c r="AW124" t="str">
        <f t="shared" si="10"/>
        <v>수동복구함 가스압식</v>
      </c>
    </row>
    <row r="125" spans="1:49" ht="30" hidden="1" customHeight="1" x14ac:dyDescent="0.3">
      <c r="A125" s="17" t="s">
        <v>488</v>
      </c>
      <c r="B125" s="17" t="s">
        <v>489</v>
      </c>
      <c r="C125" s="17" t="s">
        <v>74</v>
      </c>
      <c r="D125" s="41">
        <v>16</v>
      </c>
      <c r="E125" s="16">
        <f>TRUNC(단가대비표!O122,0)</f>
        <v>3370</v>
      </c>
      <c r="F125" s="16">
        <f t="shared" si="6"/>
        <v>53920</v>
      </c>
      <c r="G125" s="16">
        <f>TRUNC(단가대비표!P122,0)</f>
        <v>22088</v>
      </c>
      <c r="H125" s="16">
        <f t="shared" si="7"/>
        <v>353408</v>
      </c>
      <c r="I125" s="16">
        <f>TRUNC(단가대비표!V122,0)</f>
        <v>0</v>
      </c>
      <c r="J125" s="16">
        <f t="shared" si="8"/>
        <v>0</v>
      </c>
      <c r="K125" s="16">
        <f t="shared" si="11"/>
        <v>25458</v>
      </c>
      <c r="L125" s="16">
        <f t="shared" si="11"/>
        <v>407328</v>
      </c>
      <c r="M125" s="17" t="s">
        <v>490</v>
      </c>
      <c r="N125" s="2" t="s">
        <v>491</v>
      </c>
      <c r="O125" s="2" t="s">
        <v>51</v>
      </c>
      <c r="P125" s="2" t="s">
        <v>51</v>
      </c>
      <c r="Q125" s="2" t="s">
        <v>223</v>
      </c>
      <c r="R125" s="2" t="s">
        <v>61</v>
      </c>
      <c r="S125" s="2" t="s">
        <v>61</v>
      </c>
      <c r="T125" s="2" t="s">
        <v>60</v>
      </c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 t="s">
        <v>51</v>
      </c>
      <c r="AS125" s="2" t="s">
        <v>51</v>
      </c>
      <c r="AT125" s="3"/>
      <c r="AU125" s="2" t="s">
        <v>492</v>
      </c>
      <c r="AV125" s="3">
        <v>101</v>
      </c>
      <c r="AW125" t="str">
        <f t="shared" si="10"/>
        <v>스틸전선관 16C</v>
      </c>
    </row>
    <row r="126" spans="1:49" ht="30" hidden="1" customHeight="1" x14ac:dyDescent="0.3">
      <c r="A126" s="17" t="s">
        <v>493</v>
      </c>
      <c r="B126" s="17" t="s">
        <v>489</v>
      </c>
      <c r="C126" s="17" t="s">
        <v>187</v>
      </c>
      <c r="D126" s="41">
        <v>8</v>
      </c>
      <c r="E126" s="16">
        <f>TRUNC(단가대비표!O123,0)</f>
        <v>161</v>
      </c>
      <c r="F126" s="16">
        <f t="shared" si="6"/>
        <v>1288</v>
      </c>
      <c r="G126" s="16">
        <f>TRUNC(단가대비표!P123,0)</f>
        <v>0</v>
      </c>
      <c r="H126" s="16">
        <f t="shared" si="7"/>
        <v>0</v>
      </c>
      <c r="I126" s="16">
        <f>TRUNC(단가대비표!V123,0)</f>
        <v>0</v>
      </c>
      <c r="J126" s="16">
        <f t="shared" si="8"/>
        <v>0</v>
      </c>
      <c r="K126" s="16">
        <f t="shared" si="11"/>
        <v>161</v>
      </c>
      <c r="L126" s="16">
        <f t="shared" si="11"/>
        <v>1288</v>
      </c>
      <c r="M126" s="17" t="s">
        <v>494</v>
      </c>
      <c r="N126" s="2" t="s">
        <v>495</v>
      </c>
      <c r="O126" s="2" t="s">
        <v>51</v>
      </c>
      <c r="P126" s="2" t="s">
        <v>51</v>
      </c>
      <c r="Q126" s="2" t="s">
        <v>223</v>
      </c>
      <c r="R126" s="2" t="s">
        <v>61</v>
      </c>
      <c r="S126" s="2" t="s">
        <v>61</v>
      </c>
      <c r="T126" s="2" t="s">
        <v>60</v>
      </c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2" t="s">
        <v>51</v>
      </c>
      <c r="AS126" s="2" t="s">
        <v>51</v>
      </c>
      <c r="AT126" s="3"/>
      <c r="AU126" s="2" t="s">
        <v>496</v>
      </c>
      <c r="AV126" s="3">
        <v>102</v>
      </c>
      <c r="AW126" t="str">
        <f t="shared" si="10"/>
        <v>양새들 16C</v>
      </c>
    </row>
    <row r="127" spans="1:49" ht="30" hidden="1" customHeight="1" x14ac:dyDescent="0.3">
      <c r="A127" s="17" t="s">
        <v>497</v>
      </c>
      <c r="B127" s="17" t="s">
        <v>489</v>
      </c>
      <c r="C127" s="17" t="s">
        <v>187</v>
      </c>
      <c r="D127" s="41">
        <v>4</v>
      </c>
      <c r="E127" s="16">
        <f>TRUNC(단가대비표!O124,0)</f>
        <v>98</v>
      </c>
      <c r="F127" s="16">
        <f t="shared" si="6"/>
        <v>392</v>
      </c>
      <c r="G127" s="16">
        <f>TRUNC(단가대비표!P124,0)</f>
        <v>0</v>
      </c>
      <c r="H127" s="16">
        <f t="shared" si="7"/>
        <v>0</v>
      </c>
      <c r="I127" s="16">
        <f>TRUNC(단가대비표!V124,0)</f>
        <v>0</v>
      </c>
      <c r="J127" s="16">
        <f t="shared" si="8"/>
        <v>0</v>
      </c>
      <c r="K127" s="16">
        <f t="shared" si="11"/>
        <v>98</v>
      </c>
      <c r="L127" s="16">
        <f t="shared" si="11"/>
        <v>392</v>
      </c>
      <c r="M127" s="17" t="s">
        <v>498</v>
      </c>
      <c r="N127" s="2" t="s">
        <v>499</v>
      </c>
      <c r="O127" s="2" t="s">
        <v>51</v>
      </c>
      <c r="P127" s="2" t="s">
        <v>51</v>
      </c>
      <c r="Q127" s="2" t="s">
        <v>223</v>
      </c>
      <c r="R127" s="2" t="s">
        <v>61</v>
      </c>
      <c r="S127" s="2" t="s">
        <v>61</v>
      </c>
      <c r="T127" s="2" t="s">
        <v>60</v>
      </c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2" t="s">
        <v>51</v>
      </c>
      <c r="AS127" s="2" t="s">
        <v>51</v>
      </c>
      <c r="AT127" s="3"/>
      <c r="AU127" s="2" t="s">
        <v>500</v>
      </c>
      <c r="AV127" s="3">
        <v>103</v>
      </c>
      <c r="AW127" t="str">
        <f t="shared" si="10"/>
        <v>로크너트 16C</v>
      </c>
    </row>
    <row r="128" spans="1:49" ht="30" hidden="1" customHeight="1" x14ac:dyDescent="0.3">
      <c r="A128" s="17" t="s">
        <v>501</v>
      </c>
      <c r="B128" s="17" t="s">
        <v>502</v>
      </c>
      <c r="C128" s="17" t="s">
        <v>503</v>
      </c>
      <c r="D128" s="41">
        <v>1</v>
      </c>
      <c r="E128" s="16">
        <f>TRUNC(단가대비표!O125,0)</f>
        <v>33852</v>
      </c>
      <c r="F128" s="16">
        <f t="shared" ref="F128:F134" si="12">TRUNC(E128*D128, 0)</f>
        <v>33852</v>
      </c>
      <c r="G128" s="16">
        <f>TRUNC(단가대비표!P125,0)</f>
        <v>0</v>
      </c>
      <c r="H128" s="16">
        <f t="shared" ref="H128:H134" si="13">TRUNC(G128*D128, 0)</f>
        <v>0</v>
      </c>
      <c r="I128" s="16">
        <f>TRUNC(단가대비표!V125,0)</f>
        <v>0</v>
      </c>
      <c r="J128" s="16">
        <f t="shared" ref="J128:J134" si="14">TRUNC(I128*D128, 0)</f>
        <v>0</v>
      </c>
      <c r="K128" s="16">
        <f t="shared" ref="K128:L134" si="15">TRUNC(E128+G128+I128, 0)</f>
        <v>33852</v>
      </c>
      <c r="L128" s="16">
        <f t="shared" si="15"/>
        <v>33852</v>
      </c>
      <c r="M128" s="17" t="s">
        <v>504</v>
      </c>
      <c r="N128" s="2" t="s">
        <v>505</v>
      </c>
      <c r="O128" s="2" t="s">
        <v>51</v>
      </c>
      <c r="P128" s="2" t="s">
        <v>51</v>
      </c>
      <c r="Q128" s="2" t="s">
        <v>223</v>
      </c>
      <c r="R128" s="2" t="s">
        <v>61</v>
      </c>
      <c r="S128" s="2" t="s">
        <v>61</v>
      </c>
      <c r="T128" s="2" t="s">
        <v>60</v>
      </c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2" t="s">
        <v>51</v>
      </c>
      <c r="AS128" s="2" t="s">
        <v>51</v>
      </c>
      <c r="AT128" s="3"/>
      <c r="AU128" s="2" t="s">
        <v>506</v>
      </c>
      <c r="AV128" s="3">
        <v>104</v>
      </c>
      <c r="AW128" t="str">
        <f t="shared" si="10"/>
        <v>신설 소모잡자재비 관의 3%</v>
      </c>
    </row>
    <row r="129" spans="1:49" ht="30" hidden="1" customHeight="1" x14ac:dyDescent="0.3">
      <c r="A129" s="17" t="s">
        <v>507</v>
      </c>
      <c r="B129" s="17" t="s">
        <v>508</v>
      </c>
      <c r="C129" s="17" t="s">
        <v>503</v>
      </c>
      <c r="D129" s="41">
        <v>1</v>
      </c>
      <c r="E129" s="16">
        <f>TRUNC(단가대비표!O126,0)</f>
        <v>874275</v>
      </c>
      <c r="F129" s="16">
        <f t="shared" si="12"/>
        <v>874275</v>
      </c>
      <c r="G129" s="16">
        <f>TRUNC(단가대비표!P126,0)</f>
        <v>0</v>
      </c>
      <c r="H129" s="16">
        <f t="shared" si="13"/>
        <v>0</v>
      </c>
      <c r="I129" s="16">
        <f>TRUNC(단가대비표!V126,0)</f>
        <v>0</v>
      </c>
      <c r="J129" s="16">
        <f t="shared" si="14"/>
        <v>0</v>
      </c>
      <c r="K129" s="16">
        <f t="shared" si="15"/>
        <v>874275</v>
      </c>
      <c r="L129" s="16">
        <f t="shared" si="15"/>
        <v>874275</v>
      </c>
      <c r="M129" s="17" t="s">
        <v>509</v>
      </c>
      <c r="N129" s="2" t="s">
        <v>510</v>
      </c>
      <c r="O129" s="2" t="s">
        <v>51</v>
      </c>
      <c r="P129" s="2" t="s">
        <v>51</v>
      </c>
      <c r="Q129" s="2" t="s">
        <v>223</v>
      </c>
      <c r="R129" s="2" t="s">
        <v>61</v>
      </c>
      <c r="S129" s="2" t="s">
        <v>61</v>
      </c>
      <c r="T129" s="2" t="s">
        <v>60</v>
      </c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2" t="s">
        <v>51</v>
      </c>
      <c r="AS129" s="2" t="s">
        <v>51</v>
      </c>
      <c r="AT129" s="3"/>
      <c r="AU129" s="2" t="s">
        <v>511</v>
      </c>
      <c r="AV129" s="3">
        <v>105</v>
      </c>
      <c r="AW129" t="str">
        <f t="shared" si="10"/>
        <v>신설 공구손료 노무비의 3%</v>
      </c>
    </row>
    <row r="130" spans="1:49" ht="30" hidden="1" customHeight="1" x14ac:dyDescent="0.3">
      <c r="A130" s="17" t="s">
        <v>512</v>
      </c>
      <c r="B130" s="17" t="s">
        <v>513</v>
      </c>
      <c r="C130" s="17" t="s">
        <v>226</v>
      </c>
      <c r="D130" s="41">
        <v>1</v>
      </c>
      <c r="E130" s="16">
        <f>TRUNC(단가대비표!O127,0)</f>
        <v>2700000</v>
      </c>
      <c r="F130" s="16">
        <f t="shared" si="12"/>
        <v>2700000</v>
      </c>
      <c r="G130" s="16">
        <f>TRUNC(단가대비표!P127,0)</f>
        <v>214939</v>
      </c>
      <c r="H130" s="16">
        <f t="shared" si="13"/>
        <v>214939</v>
      </c>
      <c r="I130" s="16">
        <f>TRUNC(단가대비표!V127,0)</f>
        <v>0</v>
      </c>
      <c r="J130" s="16">
        <f t="shared" si="14"/>
        <v>0</v>
      </c>
      <c r="K130" s="16">
        <f t="shared" si="15"/>
        <v>2914939</v>
      </c>
      <c r="L130" s="16">
        <f t="shared" si="15"/>
        <v>2914939</v>
      </c>
      <c r="M130" s="17" t="s">
        <v>514</v>
      </c>
      <c r="N130" s="2" t="s">
        <v>515</v>
      </c>
      <c r="O130" s="2" t="s">
        <v>51</v>
      </c>
      <c r="P130" s="2" t="s">
        <v>51</v>
      </c>
      <c r="Q130" s="2" t="s">
        <v>223</v>
      </c>
      <c r="R130" s="2" t="s">
        <v>61</v>
      </c>
      <c r="S130" s="2" t="s">
        <v>61</v>
      </c>
      <c r="T130" s="2" t="s">
        <v>60</v>
      </c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2" t="s">
        <v>51</v>
      </c>
      <c r="AS130" s="2" t="s">
        <v>51</v>
      </c>
      <c r="AT130" s="3"/>
      <c r="AU130" s="2" t="s">
        <v>516</v>
      </c>
      <c r="AV130" s="3">
        <v>106</v>
      </c>
      <c r="AW130" t="str">
        <f t="shared" si="10"/>
        <v>가스식(mini FK-5-1-12)자동소화장치 	24㎏/19.8L×3BTL</v>
      </c>
    </row>
    <row r="131" spans="1:49" ht="30" hidden="1" customHeight="1" x14ac:dyDescent="0.3">
      <c r="A131" s="17" t="s">
        <v>418</v>
      </c>
      <c r="B131" s="17" t="s">
        <v>419</v>
      </c>
      <c r="C131" s="17" t="s">
        <v>187</v>
      </c>
      <c r="D131" s="41">
        <v>14</v>
      </c>
      <c r="E131" s="16">
        <f>TRUNC(단가대비표!O128,0)</f>
        <v>550</v>
      </c>
      <c r="F131" s="16">
        <f t="shared" si="12"/>
        <v>7700</v>
      </c>
      <c r="G131" s="16">
        <f>TRUNC(단가대비표!P128,0)</f>
        <v>22089</v>
      </c>
      <c r="H131" s="16">
        <f t="shared" si="13"/>
        <v>309246</v>
      </c>
      <c r="I131" s="16">
        <f>TRUNC(단가대비표!V128,0)</f>
        <v>0</v>
      </c>
      <c r="J131" s="16">
        <f t="shared" si="14"/>
        <v>0</v>
      </c>
      <c r="K131" s="16">
        <f t="shared" si="15"/>
        <v>22639</v>
      </c>
      <c r="L131" s="16">
        <f t="shared" si="15"/>
        <v>316946</v>
      </c>
      <c r="M131" s="17" t="s">
        <v>517</v>
      </c>
      <c r="N131" s="2" t="s">
        <v>518</v>
      </c>
      <c r="O131" s="2" t="s">
        <v>51</v>
      </c>
      <c r="P131" s="2" t="s">
        <v>51</v>
      </c>
      <c r="Q131" s="2" t="s">
        <v>223</v>
      </c>
      <c r="R131" s="2" t="s">
        <v>61</v>
      </c>
      <c r="S131" s="2" t="s">
        <v>61</v>
      </c>
      <c r="T131" s="2" t="s">
        <v>60</v>
      </c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2" t="s">
        <v>51</v>
      </c>
      <c r="AS131" s="2" t="s">
        <v>51</v>
      </c>
      <c r="AT131" s="3"/>
      <c r="AU131" s="2" t="s">
        <v>519</v>
      </c>
      <c r="AV131" s="3">
        <v>107</v>
      </c>
      <c r="AW131" t="str">
        <f t="shared" si="10"/>
        <v>셋트앙카볼트 	3/8×70(9×70)</v>
      </c>
    </row>
    <row r="132" spans="1:49" ht="30" hidden="1" customHeight="1" x14ac:dyDescent="0.3">
      <c r="A132" s="17" t="s">
        <v>457</v>
      </c>
      <c r="B132" s="17" t="s">
        <v>251</v>
      </c>
      <c r="C132" s="17" t="s">
        <v>57</v>
      </c>
      <c r="D132" s="41">
        <v>7</v>
      </c>
      <c r="E132" s="16">
        <f>TRUNC(단가대비표!O129,0)</f>
        <v>6000</v>
      </c>
      <c r="F132" s="16">
        <f t="shared" si="12"/>
        <v>42000</v>
      </c>
      <c r="G132" s="16">
        <f>TRUNC(단가대비표!P129,0)</f>
        <v>4008</v>
      </c>
      <c r="H132" s="16">
        <f t="shared" si="13"/>
        <v>28056</v>
      </c>
      <c r="I132" s="16">
        <f>TRUNC(단가대비표!V129,0)</f>
        <v>0</v>
      </c>
      <c r="J132" s="16">
        <f t="shared" si="14"/>
        <v>0</v>
      </c>
      <c r="K132" s="16">
        <f t="shared" si="15"/>
        <v>10008</v>
      </c>
      <c r="L132" s="16">
        <f t="shared" si="15"/>
        <v>70056</v>
      </c>
      <c r="M132" s="17" t="s">
        <v>520</v>
      </c>
      <c r="N132" s="2" t="s">
        <v>521</v>
      </c>
      <c r="O132" s="2" t="s">
        <v>51</v>
      </c>
      <c r="P132" s="2" t="s">
        <v>51</v>
      </c>
      <c r="Q132" s="2" t="s">
        <v>223</v>
      </c>
      <c r="R132" s="2" t="s">
        <v>61</v>
      </c>
      <c r="S132" s="2" t="s">
        <v>61</v>
      </c>
      <c r="T132" s="2" t="s">
        <v>60</v>
      </c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2" t="s">
        <v>51</v>
      </c>
      <c r="AS132" s="2" t="s">
        <v>51</v>
      </c>
      <c r="AT132" s="3"/>
      <c r="AU132" s="2" t="s">
        <v>522</v>
      </c>
      <c r="AV132" s="3">
        <v>108</v>
      </c>
      <c r="AW132" t="str">
        <f t="shared" si="10"/>
        <v>동관 6A</v>
      </c>
    </row>
    <row r="133" spans="1:49" ht="30" hidden="1" customHeight="1" x14ac:dyDescent="0.3">
      <c r="A133" s="17" t="s">
        <v>523</v>
      </c>
      <c r="B133" s="17" t="s">
        <v>502</v>
      </c>
      <c r="C133" s="17" t="s">
        <v>503</v>
      </c>
      <c r="D133" s="41">
        <v>1</v>
      </c>
      <c r="E133" s="16">
        <f>TRUNC(단가대비표!O130,0)</f>
        <v>1260</v>
      </c>
      <c r="F133" s="16">
        <f t="shared" si="12"/>
        <v>1260</v>
      </c>
      <c r="G133" s="16">
        <f>TRUNC(단가대비표!P130,0)</f>
        <v>0</v>
      </c>
      <c r="H133" s="16">
        <f t="shared" si="13"/>
        <v>0</v>
      </c>
      <c r="I133" s="16">
        <f>TRUNC(단가대비표!V130,0)</f>
        <v>0</v>
      </c>
      <c r="J133" s="16">
        <f t="shared" si="14"/>
        <v>0</v>
      </c>
      <c r="K133" s="16">
        <f t="shared" si="15"/>
        <v>1260</v>
      </c>
      <c r="L133" s="16">
        <f t="shared" si="15"/>
        <v>1260</v>
      </c>
      <c r="M133" s="17" t="s">
        <v>524</v>
      </c>
      <c r="N133" s="2" t="s">
        <v>525</v>
      </c>
      <c r="O133" s="2" t="s">
        <v>51</v>
      </c>
      <c r="P133" s="2" t="s">
        <v>51</v>
      </c>
      <c r="Q133" s="2" t="s">
        <v>223</v>
      </c>
      <c r="R133" s="2" t="s">
        <v>61</v>
      </c>
      <c r="S133" s="2" t="s">
        <v>61</v>
      </c>
      <c r="T133" s="2" t="s">
        <v>60</v>
      </c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2" t="s">
        <v>51</v>
      </c>
      <c r="AS133" s="2" t="s">
        <v>51</v>
      </c>
      <c r="AT133" s="3"/>
      <c r="AU133" s="2" t="s">
        <v>526</v>
      </c>
      <c r="AV133" s="3">
        <v>109</v>
      </c>
      <c r="AW133" t="str">
        <f t="shared" si="10"/>
        <v>소공간 소모잡자재비 관의 3%</v>
      </c>
    </row>
    <row r="134" spans="1:49" ht="30" hidden="1" customHeight="1" x14ac:dyDescent="0.3">
      <c r="A134" s="17" t="s">
        <v>527</v>
      </c>
      <c r="B134" s="17" t="s">
        <v>508</v>
      </c>
      <c r="C134" s="17" t="s">
        <v>503</v>
      </c>
      <c r="D134" s="41">
        <v>1</v>
      </c>
      <c r="E134" s="16">
        <f>TRUNC(단가대비표!O131,0)</f>
        <v>16567</v>
      </c>
      <c r="F134" s="16">
        <f t="shared" si="12"/>
        <v>16567</v>
      </c>
      <c r="G134" s="16">
        <f>TRUNC(단가대비표!P131,0)</f>
        <v>0</v>
      </c>
      <c r="H134" s="16">
        <f t="shared" si="13"/>
        <v>0</v>
      </c>
      <c r="I134" s="16">
        <f>TRUNC(단가대비표!V131,0)</f>
        <v>0</v>
      </c>
      <c r="J134" s="16">
        <f t="shared" si="14"/>
        <v>0</v>
      </c>
      <c r="K134" s="16">
        <f t="shared" si="15"/>
        <v>16567</v>
      </c>
      <c r="L134" s="16">
        <f t="shared" si="15"/>
        <v>16567</v>
      </c>
      <c r="M134" s="17" t="s">
        <v>528</v>
      </c>
      <c r="N134" s="2" t="s">
        <v>529</v>
      </c>
      <c r="O134" s="2" t="s">
        <v>51</v>
      </c>
      <c r="P134" s="2" t="s">
        <v>51</v>
      </c>
      <c r="Q134" s="2" t="s">
        <v>223</v>
      </c>
      <c r="R134" s="2" t="s">
        <v>61</v>
      </c>
      <c r="S134" s="2" t="s">
        <v>61</v>
      </c>
      <c r="T134" s="2" t="s">
        <v>60</v>
      </c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2" t="s">
        <v>51</v>
      </c>
      <c r="AS134" s="2" t="s">
        <v>51</v>
      </c>
      <c r="AT134" s="3"/>
      <c r="AU134" s="2" t="s">
        <v>530</v>
      </c>
      <c r="AV134" s="3">
        <v>110</v>
      </c>
      <c r="AW134" t="str">
        <f t="shared" ref="AW134:AW166" si="16">CONCATENATE(A134," ",B134)</f>
        <v>소공간 공구손료 노무비의 3%</v>
      </c>
    </row>
    <row r="135" spans="1:49" ht="30" hidden="1" customHeight="1" x14ac:dyDescent="0.3">
      <c r="A135" s="15"/>
      <c r="B135" s="15"/>
      <c r="C135" s="15"/>
      <c r="D135" s="41"/>
      <c r="E135" s="16"/>
      <c r="F135" s="16"/>
      <c r="G135" s="16"/>
      <c r="H135" s="16"/>
      <c r="I135" s="16"/>
      <c r="J135" s="16"/>
      <c r="K135" s="16"/>
      <c r="L135" s="16"/>
      <c r="M135" s="15"/>
      <c r="Q135" s="9" t="s">
        <v>223</v>
      </c>
      <c r="AW135" t="str">
        <f t="shared" si="16"/>
        <v xml:space="preserve"> </v>
      </c>
    </row>
    <row r="136" spans="1:49" ht="30" hidden="1" customHeight="1" x14ac:dyDescent="0.3">
      <c r="A136" s="15"/>
      <c r="B136" s="15"/>
      <c r="C136" s="15"/>
      <c r="D136" s="41"/>
      <c r="E136" s="16"/>
      <c r="F136" s="16"/>
      <c r="G136" s="16"/>
      <c r="H136" s="16"/>
      <c r="I136" s="16"/>
      <c r="J136" s="16"/>
      <c r="K136" s="16"/>
      <c r="L136" s="16"/>
      <c r="M136" s="15"/>
      <c r="Q136" s="9" t="s">
        <v>223</v>
      </c>
      <c r="AW136" t="str">
        <f t="shared" si="16"/>
        <v xml:space="preserve"> </v>
      </c>
    </row>
    <row r="137" spans="1:49" ht="30" hidden="1" customHeight="1" x14ac:dyDescent="0.3">
      <c r="A137" s="15"/>
      <c r="B137" s="15"/>
      <c r="C137" s="15"/>
      <c r="D137" s="41"/>
      <c r="E137" s="16"/>
      <c r="F137" s="16"/>
      <c r="G137" s="16"/>
      <c r="H137" s="16"/>
      <c r="I137" s="16"/>
      <c r="J137" s="16"/>
      <c r="K137" s="16"/>
      <c r="L137" s="16"/>
      <c r="M137" s="15"/>
      <c r="Q137" s="9" t="s">
        <v>223</v>
      </c>
      <c r="AW137" t="str">
        <f t="shared" si="16"/>
        <v xml:space="preserve"> </v>
      </c>
    </row>
    <row r="138" spans="1:49" ht="30" hidden="1" customHeight="1" x14ac:dyDescent="0.3">
      <c r="A138" s="15"/>
      <c r="B138" s="15"/>
      <c r="C138" s="15"/>
      <c r="D138" s="41"/>
      <c r="E138" s="16"/>
      <c r="F138" s="16"/>
      <c r="G138" s="16"/>
      <c r="H138" s="16"/>
      <c r="I138" s="16"/>
      <c r="J138" s="16"/>
      <c r="K138" s="16"/>
      <c r="L138" s="16"/>
      <c r="M138" s="15"/>
      <c r="Q138" s="9" t="s">
        <v>223</v>
      </c>
      <c r="AW138" t="str">
        <f t="shared" si="16"/>
        <v xml:space="preserve"> </v>
      </c>
    </row>
    <row r="139" spans="1:49" ht="30" hidden="1" customHeight="1" x14ac:dyDescent="0.3">
      <c r="A139" s="15"/>
      <c r="B139" s="15"/>
      <c r="C139" s="15"/>
      <c r="D139" s="41"/>
      <c r="E139" s="16"/>
      <c r="F139" s="16"/>
      <c r="G139" s="16"/>
      <c r="H139" s="16"/>
      <c r="I139" s="16"/>
      <c r="J139" s="16"/>
      <c r="K139" s="16"/>
      <c r="L139" s="16"/>
      <c r="M139" s="15"/>
      <c r="Q139" s="9" t="s">
        <v>223</v>
      </c>
      <c r="AW139" t="str">
        <f t="shared" si="16"/>
        <v xml:space="preserve"> </v>
      </c>
    </row>
    <row r="140" spans="1:49" ht="30" hidden="1" customHeight="1" x14ac:dyDescent="0.3">
      <c r="A140" s="17" t="s">
        <v>220</v>
      </c>
      <c r="B140" s="15"/>
      <c r="C140" s="15"/>
      <c r="D140" s="41"/>
      <c r="E140" s="16"/>
      <c r="F140" s="16">
        <f>SUMIF(Q64:Q139,"0102",F64:F139)</f>
        <v>89756813</v>
      </c>
      <c r="G140" s="16"/>
      <c r="H140" s="16">
        <f>SUMIF(Q64:Q139,"0102",H64:H139)</f>
        <v>29694742</v>
      </c>
      <c r="I140" s="16"/>
      <c r="J140" s="16">
        <f>SUMIF(Q64:Q139,"0102",J64:J139)</f>
        <v>0</v>
      </c>
      <c r="K140" s="16"/>
      <c r="L140" s="16">
        <f>SUMIF(Q64:Q139,"0102",L64:L139)</f>
        <v>119451555</v>
      </c>
      <c r="M140" s="15"/>
      <c r="N140" t="s">
        <v>221</v>
      </c>
      <c r="AW140" t="str">
        <f t="shared" si="16"/>
        <v xml:space="preserve">[ 합           계 ] </v>
      </c>
    </row>
    <row r="141" spans="1:49" ht="30" customHeight="1" x14ac:dyDescent="0.3">
      <c r="A141" s="17" t="s">
        <v>531</v>
      </c>
      <c r="B141" s="17" t="s">
        <v>51</v>
      </c>
      <c r="C141" s="15"/>
      <c r="D141" s="41"/>
      <c r="E141" s="16"/>
      <c r="F141" s="16"/>
      <c r="G141" s="16"/>
      <c r="H141" s="16"/>
      <c r="I141" s="16"/>
      <c r="J141" s="16"/>
      <c r="K141" s="16"/>
      <c r="L141" s="16"/>
      <c r="M141" s="15"/>
      <c r="N141" s="3"/>
      <c r="O141" s="3"/>
      <c r="P141" s="3"/>
      <c r="Q141" s="2" t="s">
        <v>532</v>
      </c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t="str">
        <f t="shared" si="16"/>
        <v xml:space="preserve">0103  철거공사 </v>
      </c>
    </row>
    <row r="142" spans="1:49" ht="30" customHeight="1" x14ac:dyDescent="0.3">
      <c r="A142" s="17" t="s">
        <v>533</v>
      </c>
      <c r="B142" s="17" t="s">
        <v>534</v>
      </c>
      <c r="C142" s="17" t="s">
        <v>535</v>
      </c>
      <c r="D142" s="41"/>
      <c r="E142" s="16"/>
      <c r="F142" s="16"/>
      <c r="G142" s="16"/>
      <c r="H142" s="16"/>
      <c r="I142" s="16"/>
      <c r="J142" s="16"/>
      <c r="K142" s="16"/>
      <c r="L142" s="16"/>
      <c r="M142" s="17" t="s">
        <v>536</v>
      </c>
      <c r="N142" s="2" t="s">
        <v>537</v>
      </c>
      <c r="O142" s="2" t="s">
        <v>51</v>
      </c>
      <c r="P142" s="2" t="s">
        <v>51</v>
      </c>
      <c r="Q142" s="2" t="s">
        <v>532</v>
      </c>
      <c r="R142" s="2" t="s">
        <v>61</v>
      </c>
      <c r="S142" s="2" t="s">
        <v>61</v>
      </c>
      <c r="T142" s="2" t="s">
        <v>60</v>
      </c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2" t="s">
        <v>51</v>
      </c>
      <c r="AS142" s="2" t="s">
        <v>51</v>
      </c>
      <c r="AT142" s="3"/>
      <c r="AU142" s="2" t="s">
        <v>538</v>
      </c>
      <c r="AV142" s="3">
        <v>112</v>
      </c>
      <c r="AW142" t="str">
        <f t="shared" si="16"/>
        <v>CO2실린더 철거 68L/45KG</v>
      </c>
    </row>
    <row r="143" spans="1:49" ht="30" customHeight="1" x14ac:dyDescent="0.3">
      <c r="A143" s="17" t="s">
        <v>539</v>
      </c>
      <c r="B143" s="17" t="s">
        <v>540</v>
      </c>
      <c r="C143" s="17" t="s">
        <v>93</v>
      </c>
      <c r="D143" s="41"/>
      <c r="E143" s="16"/>
      <c r="F143" s="16"/>
      <c r="G143" s="16"/>
      <c r="H143" s="16"/>
      <c r="I143" s="16"/>
      <c r="J143" s="16"/>
      <c r="K143" s="16"/>
      <c r="L143" s="16"/>
      <c r="M143" s="17" t="s">
        <v>541</v>
      </c>
      <c r="N143" s="2" t="s">
        <v>542</v>
      </c>
      <c r="O143" s="2" t="s">
        <v>51</v>
      </c>
      <c r="P143" s="2" t="s">
        <v>51</v>
      </c>
      <c r="Q143" s="2" t="s">
        <v>532</v>
      </c>
      <c r="R143" s="2" t="s">
        <v>61</v>
      </c>
      <c r="S143" s="2" t="s">
        <v>61</v>
      </c>
      <c r="T143" s="2" t="s">
        <v>60</v>
      </c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2" t="s">
        <v>51</v>
      </c>
      <c r="AS143" s="2" t="s">
        <v>51</v>
      </c>
      <c r="AT143" s="3"/>
      <c r="AU143" s="2" t="s">
        <v>543</v>
      </c>
      <c r="AV143" s="3">
        <v>113</v>
      </c>
      <c r="AW143" t="str">
        <f t="shared" si="16"/>
        <v>선택밸브 철거 80A</v>
      </c>
    </row>
    <row r="144" spans="1:49" ht="30" customHeight="1" x14ac:dyDescent="0.3">
      <c r="A144" s="17" t="s">
        <v>544</v>
      </c>
      <c r="B144" s="17" t="s">
        <v>545</v>
      </c>
      <c r="C144" s="17" t="s">
        <v>93</v>
      </c>
      <c r="D144" s="41"/>
      <c r="E144" s="16"/>
      <c r="F144" s="16"/>
      <c r="G144" s="16"/>
      <c r="H144" s="16"/>
      <c r="I144" s="16"/>
      <c r="J144" s="16"/>
      <c r="K144" s="16"/>
      <c r="L144" s="16"/>
      <c r="M144" s="17" t="s">
        <v>546</v>
      </c>
      <c r="N144" s="2" t="s">
        <v>547</v>
      </c>
      <c r="O144" s="2" t="s">
        <v>51</v>
      </c>
      <c r="P144" s="2" t="s">
        <v>51</v>
      </c>
      <c r="Q144" s="2" t="s">
        <v>532</v>
      </c>
      <c r="R144" s="2" t="s">
        <v>61</v>
      </c>
      <c r="S144" s="2" t="s">
        <v>61</v>
      </c>
      <c r="T144" s="2" t="s">
        <v>60</v>
      </c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2" t="s">
        <v>51</v>
      </c>
      <c r="AS144" s="2" t="s">
        <v>51</v>
      </c>
      <c r="AT144" s="3"/>
      <c r="AU144" s="2" t="s">
        <v>548</v>
      </c>
      <c r="AV144" s="3">
        <v>114</v>
      </c>
      <c r="AW144" t="str">
        <f t="shared" si="16"/>
        <v>기동용기함 철거 0</v>
      </c>
    </row>
    <row r="145" spans="1:49" ht="30" customHeight="1" x14ac:dyDescent="0.3">
      <c r="A145" s="17" t="s">
        <v>549</v>
      </c>
      <c r="B145" s="17" t="s">
        <v>540</v>
      </c>
      <c r="C145" s="17" t="s">
        <v>74</v>
      </c>
      <c r="D145" s="41"/>
      <c r="E145" s="16"/>
      <c r="F145" s="16"/>
      <c r="G145" s="16"/>
      <c r="H145" s="16"/>
      <c r="I145" s="16"/>
      <c r="J145" s="16"/>
      <c r="K145" s="16"/>
      <c r="L145" s="16"/>
      <c r="M145" s="17" t="s">
        <v>550</v>
      </c>
      <c r="N145" s="2" t="s">
        <v>551</v>
      </c>
      <c r="O145" s="2" t="s">
        <v>51</v>
      </c>
      <c r="P145" s="2" t="s">
        <v>51</v>
      </c>
      <c r="Q145" s="2" t="s">
        <v>532</v>
      </c>
      <c r="R145" s="2" t="s">
        <v>61</v>
      </c>
      <c r="S145" s="2" t="s">
        <v>61</v>
      </c>
      <c r="T145" s="2" t="s">
        <v>60</v>
      </c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2" t="s">
        <v>51</v>
      </c>
      <c r="AS145" s="2" t="s">
        <v>51</v>
      </c>
      <c r="AT145" s="3"/>
      <c r="AU145" s="2" t="s">
        <v>552</v>
      </c>
      <c r="AV145" s="3">
        <v>115</v>
      </c>
      <c r="AW145" t="str">
        <f t="shared" si="16"/>
        <v>SCH80 PIPE 철거 80A</v>
      </c>
    </row>
    <row r="146" spans="1:49" ht="30" customHeight="1" x14ac:dyDescent="0.3">
      <c r="A146" s="17" t="s">
        <v>549</v>
      </c>
      <c r="B146" s="17" t="s">
        <v>315</v>
      </c>
      <c r="C146" s="17" t="s">
        <v>74</v>
      </c>
      <c r="D146" s="41"/>
      <c r="E146" s="16"/>
      <c r="F146" s="16"/>
      <c r="G146" s="16"/>
      <c r="H146" s="16"/>
      <c r="I146" s="16"/>
      <c r="J146" s="16"/>
      <c r="K146" s="16"/>
      <c r="L146" s="16"/>
      <c r="M146" s="17" t="s">
        <v>553</v>
      </c>
      <c r="N146" s="2" t="s">
        <v>554</v>
      </c>
      <c r="O146" s="2" t="s">
        <v>51</v>
      </c>
      <c r="P146" s="2" t="s">
        <v>51</v>
      </c>
      <c r="Q146" s="2" t="s">
        <v>532</v>
      </c>
      <c r="R146" s="2" t="s">
        <v>61</v>
      </c>
      <c r="S146" s="2" t="s">
        <v>61</v>
      </c>
      <c r="T146" s="2" t="s">
        <v>60</v>
      </c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2" t="s">
        <v>51</v>
      </c>
      <c r="AS146" s="2" t="s">
        <v>51</v>
      </c>
      <c r="AT146" s="3"/>
      <c r="AU146" s="2" t="s">
        <v>555</v>
      </c>
      <c r="AV146" s="3">
        <v>116</v>
      </c>
      <c r="AW146" t="str">
        <f t="shared" si="16"/>
        <v>SCH80 PIPE 철거 65A</v>
      </c>
    </row>
    <row r="147" spans="1:49" ht="30" customHeight="1" x14ac:dyDescent="0.3">
      <c r="A147" s="17" t="s">
        <v>549</v>
      </c>
      <c r="B147" s="17" t="s">
        <v>273</v>
      </c>
      <c r="C147" s="17" t="s">
        <v>74</v>
      </c>
      <c r="D147" s="41"/>
      <c r="E147" s="16"/>
      <c r="F147" s="16"/>
      <c r="G147" s="16"/>
      <c r="H147" s="16"/>
      <c r="I147" s="16"/>
      <c r="J147" s="16"/>
      <c r="K147" s="16"/>
      <c r="L147" s="16"/>
      <c r="M147" s="17" t="s">
        <v>556</v>
      </c>
      <c r="N147" s="2" t="s">
        <v>557</v>
      </c>
      <c r="O147" s="2" t="s">
        <v>51</v>
      </c>
      <c r="P147" s="2" t="s">
        <v>51</v>
      </c>
      <c r="Q147" s="2" t="s">
        <v>532</v>
      </c>
      <c r="R147" s="2" t="s">
        <v>61</v>
      </c>
      <c r="S147" s="2" t="s">
        <v>61</v>
      </c>
      <c r="T147" s="2" t="s">
        <v>60</v>
      </c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2" t="s">
        <v>51</v>
      </c>
      <c r="AS147" s="2" t="s">
        <v>51</v>
      </c>
      <c r="AT147" s="3"/>
      <c r="AU147" s="2" t="s">
        <v>558</v>
      </c>
      <c r="AV147" s="3">
        <v>117</v>
      </c>
      <c r="AW147" t="str">
        <f t="shared" si="16"/>
        <v>SCH80 PIPE 철거 40A</v>
      </c>
    </row>
    <row r="148" spans="1:49" ht="30" customHeight="1" x14ac:dyDescent="0.3">
      <c r="A148" s="17" t="s">
        <v>549</v>
      </c>
      <c r="B148" s="17" t="s">
        <v>559</v>
      </c>
      <c r="C148" s="17" t="s">
        <v>74</v>
      </c>
      <c r="D148" s="41"/>
      <c r="E148" s="16"/>
      <c r="F148" s="16"/>
      <c r="G148" s="16"/>
      <c r="H148" s="16"/>
      <c r="I148" s="16"/>
      <c r="J148" s="16"/>
      <c r="K148" s="16"/>
      <c r="L148" s="16"/>
      <c r="M148" s="17" t="s">
        <v>560</v>
      </c>
      <c r="N148" s="2" t="s">
        <v>561</v>
      </c>
      <c r="O148" s="2" t="s">
        <v>51</v>
      </c>
      <c r="P148" s="2" t="s">
        <v>51</v>
      </c>
      <c r="Q148" s="2" t="s">
        <v>532</v>
      </c>
      <c r="R148" s="2" t="s">
        <v>61</v>
      </c>
      <c r="S148" s="2" t="s">
        <v>61</v>
      </c>
      <c r="T148" s="2" t="s">
        <v>60</v>
      </c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2" t="s">
        <v>51</v>
      </c>
      <c r="AS148" s="2" t="s">
        <v>51</v>
      </c>
      <c r="AT148" s="3"/>
      <c r="AU148" s="2" t="s">
        <v>562</v>
      </c>
      <c r="AV148" s="3">
        <v>118</v>
      </c>
      <c r="AW148" t="str">
        <f t="shared" si="16"/>
        <v>SCH80 PIPE 철거 32A</v>
      </c>
    </row>
    <row r="149" spans="1:49" ht="30" customHeight="1" x14ac:dyDescent="0.3">
      <c r="A149" s="17" t="s">
        <v>549</v>
      </c>
      <c r="B149" s="17" t="s">
        <v>563</v>
      </c>
      <c r="C149" s="17" t="s">
        <v>74</v>
      </c>
      <c r="D149" s="41"/>
      <c r="E149" s="16"/>
      <c r="F149" s="16"/>
      <c r="G149" s="16"/>
      <c r="H149" s="16"/>
      <c r="I149" s="16"/>
      <c r="J149" s="16"/>
      <c r="K149" s="16"/>
      <c r="L149" s="16"/>
      <c r="M149" s="17" t="s">
        <v>564</v>
      </c>
      <c r="N149" s="2" t="s">
        <v>565</v>
      </c>
      <c r="O149" s="2" t="s">
        <v>51</v>
      </c>
      <c r="P149" s="2" t="s">
        <v>51</v>
      </c>
      <c r="Q149" s="2" t="s">
        <v>532</v>
      </c>
      <c r="R149" s="2" t="s">
        <v>61</v>
      </c>
      <c r="S149" s="2" t="s">
        <v>61</v>
      </c>
      <c r="T149" s="2" t="s">
        <v>60</v>
      </c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2" t="s">
        <v>51</v>
      </c>
      <c r="AS149" s="2" t="s">
        <v>51</v>
      </c>
      <c r="AT149" s="3"/>
      <c r="AU149" s="2" t="s">
        <v>566</v>
      </c>
      <c r="AV149" s="3">
        <v>119</v>
      </c>
      <c r="AW149" t="str">
        <f t="shared" si="16"/>
        <v>SCH80 PIPE 철거 25A</v>
      </c>
    </row>
    <row r="150" spans="1:49" ht="30" customHeight="1" x14ac:dyDescent="0.3">
      <c r="A150" s="17" t="s">
        <v>567</v>
      </c>
      <c r="B150" s="17" t="s">
        <v>563</v>
      </c>
      <c r="C150" s="17" t="s">
        <v>187</v>
      </c>
      <c r="D150" s="41"/>
      <c r="E150" s="16"/>
      <c r="F150" s="16"/>
      <c r="G150" s="16"/>
      <c r="H150" s="16"/>
      <c r="I150" s="16"/>
      <c r="J150" s="16"/>
      <c r="K150" s="16"/>
      <c r="L150" s="16"/>
      <c r="M150" s="17" t="s">
        <v>568</v>
      </c>
      <c r="N150" s="2" t="s">
        <v>569</v>
      </c>
      <c r="O150" s="2" t="s">
        <v>51</v>
      </c>
      <c r="P150" s="2" t="s">
        <v>51</v>
      </c>
      <c r="Q150" s="2" t="s">
        <v>532</v>
      </c>
      <c r="R150" s="2" t="s">
        <v>61</v>
      </c>
      <c r="S150" s="2" t="s">
        <v>61</v>
      </c>
      <c r="T150" s="2" t="s">
        <v>60</v>
      </c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2" t="s">
        <v>51</v>
      </c>
      <c r="AS150" s="2" t="s">
        <v>51</v>
      </c>
      <c r="AT150" s="3"/>
      <c r="AU150" s="2" t="s">
        <v>570</v>
      </c>
      <c r="AV150" s="3">
        <v>120</v>
      </c>
      <c r="AW150" t="str">
        <f t="shared" si="16"/>
        <v>CO2 노즐 철거 25A</v>
      </c>
    </row>
    <row r="151" spans="1:49" ht="30" customHeight="1" x14ac:dyDescent="0.3">
      <c r="A151" s="17" t="s">
        <v>571</v>
      </c>
      <c r="B151" s="17" t="s">
        <v>508</v>
      </c>
      <c r="C151" s="17" t="s">
        <v>503</v>
      </c>
      <c r="D151" s="41"/>
      <c r="E151" s="16"/>
      <c r="F151" s="16"/>
      <c r="G151" s="105"/>
      <c r="H151" s="105"/>
      <c r="I151" s="16"/>
      <c r="J151" s="16"/>
      <c r="K151" s="16"/>
      <c r="L151" s="16"/>
      <c r="M151" s="17" t="s">
        <v>572</v>
      </c>
      <c r="N151" s="2" t="s">
        <v>573</v>
      </c>
      <c r="O151" s="2" t="s">
        <v>51</v>
      </c>
      <c r="P151" s="2" t="s">
        <v>51</v>
      </c>
      <c r="Q151" s="2" t="s">
        <v>532</v>
      </c>
      <c r="R151" s="2" t="s">
        <v>61</v>
      </c>
      <c r="S151" s="2" t="s">
        <v>61</v>
      </c>
      <c r="T151" s="2" t="s">
        <v>60</v>
      </c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2" t="s">
        <v>51</v>
      </c>
      <c r="AS151" s="2" t="s">
        <v>51</v>
      </c>
      <c r="AT151" s="3"/>
      <c r="AU151" s="2" t="s">
        <v>574</v>
      </c>
      <c r="AV151" s="3">
        <v>121</v>
      </c>
      <c r="AW151" t="str">
        <f t="shared" si="16"/>
        <v>철거 공구손료 노무비의 3%</v>
      </c>
    </row>
    <row r="152" spans="1:49" ht="30" customHeight="1" x14ac:dyDescent="0.3">
      <c r="A152" s="15"/>
      <c r="B152" s="15"/>
      <c r="C152" s="15"/>
      <c r="D152" s="41"/>
      <c r="E152" s="16"/>
      <c r="F152" s="16"/>
      <c r="G152" s="16"/>
      <c r="H152" s="16"/>
      <c r="I152" s="16"/>
      <c r="J152" s="16"/>
      <c r="K152" s="16"/>
      <c r="L152" s="16"/>
      <c r="M152" s="15"/>
      <c r="Q152" s="9" t="s">
        <v>532</v>
      </c>
      <c r="AW152" t="str">
        <f t="shared" si="16"/>
        <v xml:space="preserve"> </v>
      </c>
    </row>
    <row r="153" spans="1:49" ht="30" customHeight="1" x14ac:dyDescent="0.3">
      <c r="A153" s="15"/>
      <c r="B153" s="15"/>
      <c r="C153" s="15"/>
      <c r="D153" s="41"/>
      <c r="E153" s="16"/>
      <c r="F153" s="16"/>
      <c r="G153" s="16"/>
      <c r="H153" s="16"/>
      <c r="I153" s="16"/>
      <c r="J153" s="16"/>
      <c r="K153" s="16"/>
      <c r="L153" s="16"/>
      <c r="M153" s="15"/>
      <c r="Q153" s="9" t="s">
        <v>532</v>
      </c>
      <c r="AW153" t="str">
        <f t="shared" si="16"/>
        <v xml:space="preserve"> </v>
      </c>
    </row>
    <row r="154" spans="1:49" ht="30" customHeight="1" x14ac:dyDescent="0.3">
      <c r="A154" s="15"/>
      <c r="B154" s="15"/>
      <c r="C154" s="15"/>
      <c r="D154" s="41"/>
      <c r="E154" s="16"/>
      <c r="F154" s="16"/>
      <c r="G154" s="16"/>
      <c r="H154" s="16"/>
      <c r="I154" s="16"/>
      <c r="J154" s="16"/>
      <c r="K154" s="16"/>
      <c r="L154" s="16"/>
      <c r="M154" s="15"/>
      <c r="Q154" s="9" t="s">
        <v>532</v>
      </c>
      <c r="AW154" t="str">
        <f t="shared" si="16"/>
        <v xml:space="preserve"> </v>
      </c>
    </row>
    <row r="155" spans="1:49" ht="30" customHeight="1" x14ac:dyDescent="0.3">
      <c r="A155" s="15"/>
      <c r="B155" s="15"/>
      <c r="C155" s="15"/>
      <c r="D155" s="41"/>
      <c r="E155" s="16"/>
      <c r="F155" s="16"/>
      <c r="G155" s="16"/>
      <c r="H155" s="16"/>
      <c r="I155" s="16"/>
      <c r="J155" s="16"/>
      <c r="K155" s="16"/>
      <c r="L155" s="16"/>
      <c r="M155" s="15"/>
      <c r="Q155" s="9" t="s">
        <v>532</v>
      </c>
      <c r="AW155" t="str">
        <f t="shared" si="16"/>
        <v xml:space="preserve"> </v>
      </c>
    </row>
    <row r="156" spans="1:49" ht="30" customHeight="1" x14ac:dyDescent="0.3">
      <c r="A156" s="15"/>
      <c r="B156" s="15"/>
      <c r="C156" s="15"/>
      <c r="D156" s="41"/>
      <c r="E156" s="16"/>
      <c r="F156" s="16"/>
      <c r="G156" s="16"/>
      <c r="H156" s="16"/>
      <c r="I156" s="16"/>
      <c r="J156" s="16"/>
      <c r="K156" s="16"/>
      <c r="L156" s="16"/>
      <c r="M156" s="15"/>
      <c r="Q156" s="9" t="s">
        <v>532</v>
      </c>
      <c r="AW156" t="str">
        <f t="shared" si="16"/>
        <v xml:space="preserve"> </v>
      </c>
    </row>
    <row r="157" spans="1:49" ht="30" customHeight="1" x14ac:dyDescent="0.3">
      <c r="A157" s="15"/>
      <c r="B157" s="15"/>
      <c r="C157" s="15"/>
      <c r="D157" s="41"/>
      <c r="E157" s="16"/>
      <c r="F157" s="16"/>
      <c r="G157" s="16"/>
      <c r="H157" s="16"/>
      <c r="I157" s="16"/>
      <c r="J157" s="16"/>
      <c r="K157" s="16"/>
      <c r="L157" s="16"/>
      <c r="M157" s="15"/>
      <c r="Q157" s="9" t="s">
        <v>532</v>
      </c>
      <c r="AW157" t="str">
        <f t="shared" si="16"/>
        <v xml:space="preserve"> </v>
      </c>
    </row>
    <row r="158" spans="1:49" ht="30" customHeight="1" x14ac:dyDescent="0.3">
      <c r="A158" s="15"/>
      <c r="B158" s="15"/>
      <c r="C158" s="15"/>
      <c r="D158" s="41"/>
      <c r="E158" s="16"/>
      <c r="F158" s="16"/>
      <c r="G158" s="16"/>
      <c r="H158" s="16"/>
      <c r="I158" s="16"/>
      <c r="J158" s="16"/>
      <c r="K158" s="16"/>
      <c r="L158" s="16"/>
      <c r="M158" s="15"/>
      <c r="Q158" s="9" t="s">
        <v>532</v>
      </c>
      <c r="AW158" t="str">
        <f t="shared" si="16"/>
        <v xml:space="preserve"> </v>
      </c>
    </row>
    <row r="159" spans="1:49" ht="30" customHeight="1" x14ac:dyDescent="0.3">
      <c r="A159" s="15"/>
      <c r="B159" s="15"/>
      <c r="C159" s="15"/>
      <c r="D159" s="41"/>
      <c r="E159" s="16"/>
      <c r="F159" s="16"/>
      <c r="G159" s="16"/>
      <c r="H159" s="16"/>
      <c r="I159" s="16"/>
      <c r="J159" s="16"/>
      <c r="K159" s="16"/>
      <c r="L159" s="16"/>
      <c r="M159" s="15"/>
      <c r="Q159" s="9" t="s">
        <v>532</v>
      </c>
      <c r="AW159" t="str">
        <f t="shared" si="16"/>
        <v xml:space="preserve"> </v>
      </c>
    </row>
    <row r="160" spans="1:49" ht="30" customHeight="1" x14ac:dyDescent="0.3">
      <c r="A160" s="15"/>
      <c r="B160" s="15"/>
      <c r="C160" s="15"/>
      <c r="D160" s="41"/>
      <c r="E160" s="16"/>
      <c r="F160" s="16"/>
      <c r="G160" s="16"/>
      <c r="H160" s="16"/>
      <c r="I160" s="16"/>
      <c r="J160" s="16"/>
      <c r="K160" s="16"/>
      <c r="L160" s="16"/>
      <c r="M160" s="15"/>
      <c r="Q160" s="9" t="s">
        <v>532</v>
      </c>
      <c r="AW160" t="str">
        <f t="shared" si="16"/>
        <v xml:space="preserve"> </v>
      </c>
    </row>
    <row r="161" spans="1:49" ht="30" customHeight="1" x14ac:dyDescent="0.3">
      <c r="A161" s="15"/>
      <c r="B161" s="15"/>
      <c r="C161" s="15"/>
      <c r="D161" s="41"/>
      <c r="E161" s="16"/>
      <c r="F161" s="16"/>
      <c r="G161" s="16"/>
      <c r="H161" s="16"/>
      <c r="I161" s="16"/>
      <c r="J161" s="16"/>
      <c r="K161" s="16"/>
      <c r="L161" s="16"/>
      <c r="M161" s="15"/>
      <c r="Q161" s="9" t="s">
        <v>532</v>
      </c>
      <c r="AW161" t="str">
        <f t="shared" si="16"/>
        <v xml:space="preserve"> </v>
      </c>
    </row>
    <row r="162" spans="1:49" ht="30" customHeight="1" x14ac:dyDescent="0.3">
      <c r="A162" s="15"/>
      <c r="B162" s="15"/>
      <c r="C162" s="15"/>
      <c r="D162" s="41"/>
      <c r="E162" s="16"/>
      <c r="F162" s="16"/>
      <c r="G162" s="16"/>
      <c r="H162" s="16"/>
      <c r="I162" s="16"/>
      <c r="J162" s="16"/>
      <c r="K162" s="16"/>
      <c r="L162" s="16"/>
      <c r="M162" s="15"/>
      <c r="Q162" s="9" t="s">
        <v>532</v>
      </c>
      <c r="AW162" t="str">
        <f t="shared" si="16"/>
        <v xml:space="preserve"> </v>
      </c>
    </row>
    <row r="163" spans="1:49" ht="30" customHeight="1" x14ac:dyDescent="0.3">
      <c r="A163" s="15"/>
      <c r="B163" s="15"/>
      <c r="C163" s="15"/>
      <c r="D163" s="41"/>
      <c r="E163" s="16"/>
      <c r="F163" s="16"/>
      <c r="G163" s="16"/>
      <c r="H163" s="16"/>
      <c r="I163" s="16"/>
      <c r="J163" s="16"/>
      <c r="K163" s="16"/>
      <c r="L163" s="16"/>
      <c r="M163" s="15"/>
      <c r="Q163" s="9" t="s">
        <v>532</v>
      </c>
      <c r="AW163" t="str">
        <f t="shared" si="16"/>
        <v xml:space="preserve"> </v>
      </c>
    </row>
    <row r="164" spans="1:49" ht="30" customHeight="1" x14ac:dyDescent="0.3">
      <c r="A164" s="15"/>
      <c r="B164" s="15"/>
      <c r="C164" s="15"/>
      <c r="D164" s="41"/>
      <c r="E164" s="16"/>
      <c r="F164" s="16"/>
      <c r="G164" s="16"/>
      <c r="H164" s="16"/>
      <c r="I164" s="16"/>
      <c r="J164" s="16"/>
      <c r="K164" s="16"/>
      <c r="L164" s="16"/>
      <c r="M164" s="15"/>
      <c r="Q164" s="9" t="s">
        <v>532</v>
      </c>
      <c r="AW164" t="str">
        <f t="shared" si="16"/>
        <v xml:space="preserve"> </v>
      </c>
    </row>
    <row r="165" spans="1:49" ht="30" customHeight="1" x14ac:dyDescent="0.3">
      <c r="A165" s="15"/>
      <c r="B165" s="15"/>
      <c r="C165" s="15"/>
      <c r="D165" s="41"/>
      <c r="E165" s="16"/>
      <c r="F165" s="16"/>
      <c r="G165" s="16"/>
      <c r="H165" s="16"/>
      <c r="I165" s="16"/>
      <c r="J165" s="16"/>
      <c r="K165" s="16"/>
      <c r="L165" s="16"/>
      <c r="M165" s="15"/>
      <c r="Q165" s="9" t="s">
        <v>532</v>
      </c>
      <c r="AW165" t="str">
        <f t="shared" si="16"/>
        <v xml:space="preserve"> </v>
      </c>
    </row>
    <row r="166" spans="1:49" ht="30" customHeight="1" x14ac:dyDescent="0.3">
      <c r="A166" s="17" t="s">
        <v>220</v>
      </c>
      <c r="B166" s="15"/>
      <c r="C166" s="15"/>
      <c r="D166" s="41"/>
      <c r="E166" s="16"/>
      <c r="F166" s="16">
        <f>SUMIF(Q142:Q165,"0103",F142:F165)</f>
        <v>0</v>
      </c>
      <c r="G166" s="16"/>
      <c r="H166" s="16">
        <f>SUMIF(Q142:Q165,"0103",H142:H165)</f>
        <v>0</v>
      </c>
      <c r="I166" s="16"/>
      <c r="J166" s="16">
        <f>SUMIF(Q142:Q165,"0103",J142:J165)</f>
        <v>0</v>
      </c>
      <c r="K166" s="16"/>
      <c r="L166" s="16">
        <f>SUMIF(Q142:Q165,"0103",L142:L165)</f>
        <v>0</v>
      </c>
      <c r="M166" s="15"/>
      <c r="N166" t="s">
        <v>221</v>
      </c>
      <c r="AW166" t="str">
        <f t="shared" si="16"/>
        <v xml:space="preserve">[ 합           계 ] 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verticalDpi="0" r:id="rId1"/>
  <rowBreaks count="3" manualBreakCount="3">
    <brk id="62" max="16383" man="1"/>
    <brk id="140" max="16383" man="1"/>
    <brk id="16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7"/>
  <sheetViews>
    <sheetView topLeftCell="B4" workbookViewId="0">
      <selection activeCell="E4" sqref="E4:H37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2" width="2.625" hidden="1" customWidth="1"/>
    <col min="13" max="13" width="20.625" customWidth="1"/>
    <col min="14" max="14" width="2.625" hidden="1" customWidth="1"/>
  </cols>
  <sheetData>
    <row r="1" spans="1:14" ht="30" customHeight="1" x14ac:dyDescent="0.3">
      <c r="A1" s="5"/>
      <c r="B1" s="4" t="s">
        <v>575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4" ht="30" customHeight="1" x14ac:dyDescent="0.3">
      <c r="A2" s="18"/>
      <c r="B2" s="19" t="str">
        <f>'공종별내역서(철거)'!A1</f>
        <v>[ 사옥 이산화탄소 소화설비 교체공사 ]</v>
      </c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14" ht="30" customHeight="1" x14ac:dyDescent="0.3">
      <c r="A3" s="10" t="s">
        <v>576</v>
      </c>
      <c r="B3" s="10" t="s">
        <v>2</v>
      </c>
      <c r="C3" s="10" t="s">
        <v>3</v>
      </c>
      <c r="D3" s="10" t="s">
        <v>4</v>
      </c>
      <c r="E3" s="10" t="s">
        <v>577</v>
      </c>
      <c r="F3" s="10" t="s">
        <v>578</v>
      </c>
      <c r="G3" s="10" t="s">
        <v>579</v>
      </c>
      <c r="H3" s="10" t="s">
        <v>580</v>
      </c>
      <c r="I3" s="10" t="s">
        <v>581</v>
      </c>
      <c r="J3" s="10" t="s">
        <v>582</v>
      </c>
      <c r="K3" s="10" t="s">
        <v>583</v>
      </c>
      <c r="L3" s="10" t="s">
        <v>584</v>
      </c>
      <c r="M3" s="10" t="s">
        <v>585</v>
      </c>
      <c r="N3" s="1" t="s">
        <v>586</v>
      </c>
    </row>
    <row r="4" spans="1:14" ht="30" customHeight="1" x14ac:dyDescent="0.3">
      <c r="A4" s="17" t="s">
        <v>597</v>
      </c>
      <c r="B4" s="17" t="s">
        <v>598</v>
      </c>
      <c r="C4" s="17" t="s">
        <v>599</v>
      </c>
      <c r="D4" s="17" t="s">
        <v>600</v>
      </c>
      <c r="E4" s="27"/>
      <c r="F4" s="27"/>
      <c r="G4" s="27"/>
      <c r="H4" s="27"/>
      <c r="I4" s="17" t="s">
        <v>601</v>
      </c>
      <c r="J4" s="17" t="s">
        <v>51</v>
      </c>
      <c r="K4" s="17" t="s">
        <v>602</v>
      </c>
      <c r="L4" s="17" t="s">
        <v>51</v>
      </c>
      <c r="M4" s="17" t="s">
        <v>603</v>
      </c>
      <c r="N4" s="2" t="s">
        <v>60</v>
      </c>
    </row>
    <row r="5" spans="1:14" ht="30" customHeight="1" x14ac:dyDescent="0.3">
      <c r="A5" s="17" t="s">
        <v>610</v>
      </c>
      <c r="B5" s="17" t="s">
        <v>611</v>
      </c>
      <c r="C5" s="17" t="s">
        <v>612</v>
      </c>
      <c r="D5" s="17" t="s">
        <v>600</v>
      </c>
      <c r="E5" s="27"/>
      <c r="F5" s="27"/>
      <c r="G5" s="27"/>
      <c r="H5" s="27"/>
      <c r="I5" s="17" t="s">
        <v>613</v>
      </c>
      <c r="J5" s="17" t="s">
        <v>51</v>
      </c>
      <c r="K5" s="17" t="s">
        <v>602</v>
      </c>
      <c r="L5" s="17" t="s">
        <v>51</v>
      </c>
      <c r="M5" s="17" t="s">
        <v>614</v>
      </c>
      <c r="N5" s="2" t="s">
        <v>60</v>
      </c>
    </row>
    <row r="6" spans="1:14" ht="30" customHeight="1" x14ac:dyDescent="0.3">
      <c r="A6" s="17" t="s">
        <v>619</v>
      </c>
      <c r="B6" s="17" t="s">
        <v>195</v>
      </c>
      <c r="C6" s="17" t="s">
        <v>620</v>
      </c>
      <c r="D6" s="17" t="s">
        <v>122</v>
      </c>
      <c r="E6" s="27"/>
      <c r="F6" s="27"/>
      <c r="G6" s="27"/>
      <c r="H6" s="27"/>
      <c r="I6" s="17" t="s">
        <v>621</v>
      </c>
      <c r="J6" s="17" t="s">
        <v>51</v>
      </c>
      <c r="K6" s="17" t="s">
        <v>51</v>
      </c>
      <c r="L6" s="17" t="s">
        <v>51</v>
      </c>
      <c r="M6" s="17" t="s">
        <v>622</v>
      </c>
      <c r="N6" s="2" t="s">
        <v>51</v>
      </c>
    </row>
    <row r="7" spans="1:14" ht="30" customHeight="1" x14ac:dyDescent="0.3">
      <c r="A7" s="17" t="s">
        <v>198</v>
      </c>
      <c r="B7" s="17" t="s">
        <v>195</v>
      </c>
      <c r="C7" s="17" t="s">
        <v>196</v>
      </c>
      <c r="D7" s="17" t="s">
        <v>122</v>
      </c>
      <c r="E7" s="27"/>
      <c r="F7" s="27"/>
      <c r="G7" s="27"/>
      <c r="H7" s="27"/>
      <c r="I7" s="17" t="s">
        <v>197</v>
      </c>
      <c r="J7" s="17" t="s">
        <v>51</v>
      </c>
      <c r="K7" s="17" t="s">
        <v>51</v>
      </c>
      <c r="L7" s="17" t="s">
        <v>51</v>
      </c>
      <c r="M7" s="17" t="s">
        <v>634</v>
      </c>
      <c r="N7" s="2" t="s">
        <v>51</v>
      </c>
    </row>
    <row r="8" spans="1:14" ht="30" customHeight="1" x14ac:dyDescent="0.3">
      <c r="A8" s="17" t="s">
        <v>109</v>
      </c>
      <c r="B8" s="17" t="s">
        <v>105</v>
      </c>
      <c r="C8" s="17" t="s">
        <v>106</v>
      </c>
      <c r="D8" s="17" t="s">
        <v>107</v>
      </c>
      <c r="E8" s="27"/>
      <c r="F8" s="27"/>
      <c r="G8" s="27"/>
      <c r="H8" s="27"/>
      <c r="I8" s="17" t="s">
        <v>108</v>
      </c>
      <c r="J8" s="17" t="s">
        <v>51</v>
      </c>
      <c r="K8" s="17" t="s">
        <v>51</v>
      </c>
      <c r="L8" s="17" t="s">
        <v>51</v>
      </c>
      <c r="M8" s="17" t="s">
        <v>679</v>
      </c>
      <c r="N8" s="2" t="s">
        <v>51</v>
      </c>
    </row>
    <row r="9" spans="1:14" ht="30" customHeight="1" x14ac:dyDescent="0.3">
      <c r="A9" s="17" t="s">
        <v>114</v>
      </c>
      <c r="B9" s="17" t="s">
        <v>111</v>
      </c>
      <c r="C9" s="17" t="s">
        <v>51</v>
      </c>
      <c r="D9" s="17" t="s">
        <v>112</v>
      </c>
      <c r="E9" s="27"/>
      <c r="F9" s="27"/>
      <c r="G9" s="27"/>
      <c r="H9" s="27"/>
      <c r="I9" s="17" t="s">
        <v>113</v>
      </c>
      <c r="J9" s="17" t="s">
        <v>51</v>
      </c>
      <c r="K9" s="17" t="s">
        <v>51</v>
      </c>
      <c r="L9" s="17" t="s">
        <v>51</v>
      </c>
      <c r="M9" s="17" t="s">
        <v>711</v>
      </c>
      <c r="N9" s="2" t="s">
        <v>51</v>
      </c>
    </row>
    <row r="10" spans="1:14" ht="30" customHeight="1" x14ac:dyDescent="0.3">
      <c r="A10" s="17" t="s">
        <v>119</v>
      </c>
      <c r="B10" s="17" t="s">
        <v>116</v>
      </c>
      <c r="C10" s="17" t="s">
        <v>117</v>
      </c>
      <c r="D10" s="17" t="s">
        <v>93</v>
      </c>
      <c r="E10" s="27"/>
      <c r="F10" s="27"/>
      <c r="G10" s="27"/>
      <c r="H10" s="27"/>
      <c r="I10" s="17" t="s">
        <v>118</v>
      </c>
      <c r="J10" s="17" t="s">
        <v>51</v>
      </c>
      <c r="K10" s="17" t="s">
        <v>51</v>
      </c>
      <c r="L10" s="17" t="s">
        <v>51</v>
      </c>
      <c r="M10" s="17" t="s">
        <v>718</v>
      </c>
      <c r="N10" s="2" t="s">
        <v>51</v>
      </c>
    </row>
    <row r="11" spans="1:14" ht="30" customHeight="1" x14ac:dyDescent="0.3">
      <c r="A11" s="17" t="s">
        <v>76</v>
      </c>
      <c r="B11" s="17" t="s">
        <v>72</v>
      </c>
      <c r="C11" s="17" t="s">
        <v>73</v>
      </c>
      <c r="D11" s="17" t="s">
        <v>74</v>
      </c>
      <c r="E11" s="27"/>
      <c r="F11" s="27"/>
      <c r="G11" s="27"/>
      <c r="H11" s="27"/>
      <c r="I11" s="17" t="s">
        <v>75</v>
      </c>
      <c r="J11" s="17" t="s">
        <v>51</v>
      </c>
      <c r="K11" s="17" t="s">
        <v>51</v>
      </c>
      <c r="L11" s="17" t="s">
        <v>51</v>
      </c>
      <c r="M11" s="17" t="s">
        <v>726</v>
      </c>
      <c r="N11" s="2" t="s">
        <v>51</v>
      </c>
    </row>
    <row r="12" spans="1:14" ht="30" customHeight="1" x14ac:dyDescent="0.3">
      <c r="A12" s="17" t="s">
        <v>80</v>
      </c>
      <c r="B12" s="17" t="s">
        <v>72</v>
      </c>
      <c r="C12" s="17" t="s">
        <v>78</v>
      </c>
      <c r="D12" s="17" t="s">
        <v>74</v>
      </c>
      <c r="E12" s="27"/>
      <c r="F12" s="27"/>
      <c r="G12" s="27"/>
      <c r="H12" s="27"/>
      <c r="I12" s="17" t="s">
        <v>79</v>
      </c>
      <c r="J12" s="17" t="s">
        <v>51</v>
      </c>
      <c r="K12" s="17" t="s">
        <v>51</v>
      </c>
      <c r="L12" s="17" t="s">
        <v>51</v>
      </c>
      <c r="M12" s="17" t="s">
        <v>726</v>
      </c>
      <c r="N12" s="2" t="s">
        <v>51</v>
      </c>
    </row>
    <row r="13" spans="1:14" ht="30" customHeight="1" x14ac:dyDescent="0.3">
      <c r="A13" s="17" t="s">
        <v>84</v>
      </c>
      <c r="B13" s="17" t="s">
        <v>72</v>
      </c>
      <c r="C13" s="17" t="s">
        <v>82</v>
      </c>
      <c r="D13" s="17" t="s">
        <v>74</v>
      </c>
      <c r="E13" s="27"/>
      <c r="F13" s="27"/>
      <c r="G13" s="27"/>
      <c r="H13" s="27"/>
      <c r="I13" s="17" t="s">
        <v>83</v>
      </c>
      <c r="J13" s="17" t="s">
        <v>51</v>
      </c>
      <c r="K13" s="17" t="s">
        <v>51</v>
      </c>
      <c r="L13" s="17" t="s">
        <v>51</v>
      </c>
      <c r="M13" s="17" t="s">
        <v>726</v>
      </c>
      <c r="N13" s="2" t="s">
        <v>51</v>
      </c>
    </row>
    <row r="14" spans="1:14" ht="30" customHeight="1" x14ac:dyDescent="0.3">
      <c r="A14" s="17" t="s">
        <v>89</v>
      </c>
      <c r="B14" s="17" t="s">
        <v>86</v>
      </c>
      <c r="C14" s="17" t="s">
        <v>87</v>
      </c>
      <c r="D14" s="17" t="s">
        <v>74</v>
      </c>
      <c r="E14" s="27"/>
      <c r="F14" s="27"/>
      <c r="G14" s="27"/>
      <c r="H14" s="27"/>
      <c r="I14" s="17" t="s">
        <v>88</v>
      </c>
      <c r="J14" s="17" t="s">
        <v>51</v>
      </c>
      <c r="K14" s="17" t="s">
        <v>51</v>
      </c>
      <c r="L14" s="17" t="s">
        <v>51</v>
      </c>
      <c r="M14" s="17" t="s">
        <v>726</v>
      </c>
      <c r="N14" s="2" t="s">
        <v>51</v>
      </c>
    </row>
    <row r="15" spans="1:14" ht="30" customHeight="1" x14ac:dyDescent="0.3">
      <c r="A15" s="17" t="s">
        <v>95</v>
      </c>
      <c r="B15" s="17" t="s">
        <v>91</v>
      </c>
      <c r="C15" s="17" t="s">
        <v>92</v>
      </c>
      <c r="D15" s="17" t="s">
        <v>93</v>
      </c>
      <c r="E15" s="27"/>
      <c r="F15" s="27"/>
      <c r="G15" s="27"/>
      <c r="H15" s="27"/>
      <c r="I15" s="17" t="s">
        <v>94</v>
      </c>
      <c r="J15" s="17" t="s">
        <v>51</v>
      </c>
      <c r="K15" s="17" t="s">
        <v>51</v>
      </c>
      <c r="L15" s="17" t="s">
        <v>51</v>
      </c>
      <c r="M15" s="17" t="s">
        <v>51</v>
      </c>
      <c r="N15" s="2" t="s">
        <v>51</v>
      </c>
    </row>
    <row r="16" spans="1:14" ht="30" customHeight="1" x14ac:dyDescent="0.3">
      <c r="A16" s="17" t="s">
        <v>99</v>
      </c>
      <c r="B16" s="17" t="s">
        <v>91</v>
      </c>
      <c r="C16" s="17" t="s">
        <v>97</v>
      </c>
      <c r="D16" s="17" t="s">
        <v>93</v>
      </c>
      <c r="E16" s="27"/>
      <c r="F16" s="27"/>
      <c r="G16" s="27"/>
      <c r="H16" s="27"/>
      <c r="I16" s="17" t="s">
        <v>98</v>
      </c>
      <c r="J16" s="17" t="s">
        <v>51</v>
      </c>
      <c r="K16" s="17" t="s">
        <v>51</v>
      </c>
      <c r="L16" s="17" t="s">
        <v>51</v>
      </c>
      <c r="M16" s="17" t="s">
        <v>51</v>
      </c>
      <c r="N16" s="2" t="s">
        <v>51</v>
      </c>
    </row>
    <row r="17" spans="1:14" ht="30" customHeight="1" x14ac:dyDescent="0.3">
      <c r="A17" s="17" t="s">
        <v>103</v>
      </c>
      <c r="B17" s="17" t="s">
        <v>91</v>
      </c>
      <c r="C17" s="17" t="s">
        <v>101</v>
      </c>
      <c r="D17" s="17" t="s">
        <v>93</v>
      </c>
      <c r="E17" s="27"/>
      <c r="F17" s="27"/>
      <c r="G17" s="27"/>
      <c r="H17" s="27"/>
      <c r="I17" s="17" t="s">
        <v>102</v>
      </c>
      <c r="J17" s="17" t="s">
        <v>51</v>
      </c>
      <c r="K17" s="17" t="s">
        <v>51</v>
      </c>
      <c r="L17" s="17" t="s">
        <v>51</v>
      </c>
      <c r="M17" s="17" t="s">
        <v>51</v>
      </c>
      <c r="N17" s="2" t="s">
        <v>51</v>
      </c>
    </row>
    <row r="18" spans="1:14" ht="30" customHeight="1" x14ac:dyDescent="0.3">
      <c r="A18" s="17" t="s">
        <v>59</v>
      </c>
      <c r="B18" s="17" t="s">
        <v>55</v>
      </c>
      <c r="C18" s="17" t="s">
        <v>56</v>
      </c>
      <c r="D18" s="17" t="s">
        <v>57</v>
      </c>
      <c r="E18" s="27"/>
      <c r="F18" s="27"/>
      <c r="G18" s="27"/>
      <c r="H18" s="27"/>
      <c r="I18" s="17" t="s">
        <v>58</v>
      </c>
      <c r="J18" s="17" t="s">
        <v>51</v>
      </c>
      <c r="K18" s="17" t="s">
        <v>51</v>
      </c>
      <c r="L18" s="17" t="s">
        <v>51</v>
      </c>
      <c r="M18" s="17" t="s">
        <v>790</v>
      </c>
      <c r="N18" s="2" t="s">
        <v>51</v>
      </c>
    </row>
    <row r="19" spans="1:14" ht="30" customHeight="1" x14ac:dyDescent="0.3">
      <c r="A19" s="17" t="s">
        <v>65</v>
      </c>
      <c r="B19" s="17" t="s">
        <v>55</v>
      </c>
      <c r="C19" s="17" t="s">
        <v>63</v>
      </c>
      <c r="D19" s="17" t="s">
        <v>57</v>
      </c>
      <c r="E19" s="27"/>
      <c r="F19" s="27"/>
      <c r="G19" s="27"/>
      <c r="H19" s="27"/>
      <c r="I19" s="17" t="s">
        <v>64</v>
      </c>
      <c r="J19" s="17" t="s">
        <v>51</v>
      </c>
      <c r="K19" s="17" t="s">
        <v>51</v>
      </c>
      <c r="L19" s="17" t="s">
        <v>51</v>
      </c>
      <c r="M19" s="17" t="s">
        <v>790</v>
      </c>
      <c r="N19" s="2" t="s">
        <v>51</v>
      </c>
    </row>
    <row r="20" spans="1:14" ht="30" customHeight="1" x14ac:dyDescent="0.3">
      <c r="A20" s="17" t="s">
        <v>70</v>
      </c>
      <c r="B20" s="17" t="s">
        <v>67</v>
      </c>
      <c r="C20" s="17" t="s">
        <v>68</v>
      </c>
      <c r="D20" s="17" t="s">
        <v>57</v>
      </c>
      <c r="E20" s="27"/>
      <c r="F20" s="27"/>
      <c r="G20" s="27"/>
      <c r="H20" s="27"/>
      <c r="I20" s="17" t="s">
        <v>69</v>
      </c>
      <c r="J20" s="17" t="s">
        <v>51</v>
      </c>
      <c r="K20" s="17" t="s">
        <v>51</v>
      </c>
      <c r="L20" s="17" t="s">
        <v>51</v>
      </c>
      <c r="M20" s="17" t="s">
        <v>806</v>
      </c>
      <c r="N20" s="2" t="s">
        <v>51</v>
      </c>
    </row>
    <row r="21" spans="1:14" ht="30" customHeight="1" x14ac:dyDescent="0.3">
      <c r="A21" s="17" t="s">
        <v>134</v>
      </c>
      <c r="B21" s="17" t="s">
        <v>131</v>
      </c>
      <c r="C21" s="17" t="s">
        <v>51</v>
      </c>
      <c r="D21" s="17" t="s">
        <v>132</v>
      </c>
      <c r="E21" s="27"/>
      <c r="F21" s="27"/>
      <c r="G21" s="27"/>
      <c r="H21" s="27"/>
      <c r="I21" s="17" t="s">
        <v>133</v>
      </c>
      <c r="J21" s="17" t="s">
        <v>51</v>
      </c>
      <c r="K21" s="17" t="s">
        <v>51</v>
      </c>
      <c r="L21" s="17" t="s">
        <v>51</v>
      </c>
      <c r="M21" s="17" t="s">
        <v>818</v>
      </c>
      <c r="N21" s="2" t="s">
        <v>51</v>
      </c>
    </row>
    <row r="22" spans="1:14" ht="30" customHeight="1" x14ac:dyDescent="0.3">
      <c r="A22" s="17" t="s">
        <v>139</v>
      </c>
      <c r="B22" s="17" t="s">
        <v>136</v>
      </c>
      <c r="C22" s="17" t="s">
        <v>137</v>
      </c>
      <c r="D22" s="17" t="s">
        <v>132</v>
      </c>
      <c r="E22" s="27"/>
      <c r="F22" s="27"/>
      <c r="G22" s="27"/>
      <c r="H22" s="27"/>
      <c r="I22" s="17" t="s">
        <v>138</v>
      </c>
      <c r="J22" s="17" t="s">
        <v>51</v>
      </c>
      <c r="K22" s="17" t="s">
        <v>51</v>
      </c>
      <c r="L22" s="17" t="s">
        <v>51</v>
      </c>
      <c r="M22" s="17" t="s">
        <v>826</v>
      </c>
      <c r="N22" s="2" t="s">
        <v>51</v>
      </c>
    </row>
    <row r="23" spans="1:14" ht="30" customHeight="1" x14ac:dyDescent="0.3">
      <c r="A23" s="17" t="s">
        <v>189</v>
      </c>
      <c r="B23" s="17" t="s">
        <v>186</v>
      </c>
      <c r="C23" s="17" t="s">
        <v>51</v>
      </c>
      <c r="D23" s="17" t="s">
        <v>187</v>
      </c>
      <c r="E23" s="27"/>
      <c r="F23" s="27"/>
      <c r="G23" s="27"/>
      <c r="H23" s="27"/>
      <c r="I23" s="17" t="s">
        <v>188</v>
      </c>
      <c r="J23" s="17" t="s">
        <v>51</v>
      </c>
      <c r="K23" s="17" t="s">
        <v>51</v>
      </c>
      <c r="L23" s="17" t="s">
        <v>51</v>
      </c>
      <c r="M23" s="17" t="s">
        <v>834</v>
      </c>
      <c r="N23" s="2" t="s">
        <v>51</v>
      </c>
    </row>
    <row r="24" spans="1:14" ht="30" customHeight="1" x14ac:dyDescent="0.3">
      <c r="A24" s="17" t="s">
        <v>193</v>
      </c>
      <c r="B24" s="17" t="s">
        <v>191</v>
      </c>
      <c r="C24" s="17" t="s">
        <v>51</v>
      </c>
      <c r="D24" s="17" t="s">
        <v>187</v>
      </c>
      <c r="E24" s="27"/>
      <c r="F24" s="27"/>
      <c r="G24" s="27"/>
      <c r="H24" s="27"/>
      <c r="I24" s="17" t="s">
        <v>192</v>
      </c>
      <c r="J24" s="17" t="s">
        <v>51</v>
      </c>
      <c r="K24" s="17" t="s">
        <v>51</v>
      </c>
      <c r="L24" s="17" t="s">
        <v>51</v>
      </c>
      <c r="M24" s="17" t="s">
        <v>834</v>
      </c>
      <c r="N24" s="2" t="s">
        <v>51</v>
      </c>
    </row>
    <row r="25" spans="1:14" ht="30" customHeight="1" x14ac:dyDescent="0.3">
      <c r="A25" s="17" t="s">
        <v>143</v>
      </c>
      <c r="B25" s="17" t="s">
        <v>136</v>
      </c>
      <c r="C25" s="17" t="s">
        <v>141</v>
      </c>
      <c r="D25" s="17" t="s">
        <v>132</v>
      </c>
      <c r="E25" s="27"/>
      <c r="F25" s="27"/>
      <c r="G25" s="27"/>
      <c r="H25" s="27"/>
      <c r="I25" s="17" t="s">
        <v>142</v>
      </c>
      <c r="J25" s="17" t="s">
        <v>51</v>
      </c>
      <c r="K25" s="17" t="s">
        <v>51</v>
      </c>
      <c r="L25" s="17" t="s">
        <v>51</v>
      </c>
      <c r="M25" s="17" t="s">
        <v>826</v>
      </c>
      <c r="N25" s="2" t="s">
        <v>51</v>
      </c>
    </row>
    <row r="26" spans="1:14" ht="30" customHeight="1" x14ac:dyDescent="0.3">
      <c r="A26" s="17" t="s">
        <v>175</v>
      </c>
      <c r="B26" s="17" t="s">
        <v>173</v>
      </c>
      <c r="C26" s="17" t="s">
        <v>51</v>
      </c>
      <c r="D26" s="17" t="s">
        <v>132</v>
      </c>
      <c r="E26" s="27"/>
      <c r="F26" s="27"/>
      <c r="G26" s="27"/>
      <c r="H26" s="27"/>
      <c r="I26" s="17" t="s">
        <v>174</v>
      </c>
      <c r="J26" s="17" t="s">
        <v>51</v>
      </c>
      <c r="K26" s="17" t="s">
        <v>51</v>
      </c>
      <c r="L26" s="17" t="s">
        <v>51</v>
      </c>
      <c r="M26" s="17" t="s">
        <v>826</v>
      </c>
      <c r="N26" s="2" t="s">
        <v>51</v>
      </c>
    </row>
    <row r="27" spans="1:14" ht="30" customHeight="1" x14ac:dyDescent="0.3">
      <c r="A27" s="17" t="s">
        <v>179</v>
      </c>
      <c r="B27" s="17" t="s">
        <v>177</v>
      </c>
      <c r="C27" s="17" t="s">
        <v>51</v>
      </c>
      <c r="D27" s="17" t="s">
        <v>74</v>
      </c>
      <c r="E27" s="27"/>
      <c r="F27" s="27"/>
      <c r="G27" s="27"/>
      <c r="H27" s="27"/>
      <c r="I27" s="17" t="s">
        <v>178</v>
      </c>
      <c r="J27" s="17" t="s">
        <v>51</v>
      </c>
      <c r="K27" s="17" t="s">
        <v>51</v>
      </c>
      <c r="L27" s="17" t="s">
        <v>51</v>
      </c>
      <c r="M27" s="17" t="s">
        <v>818</v>
      </c>
      <c r="N27" s="2" t="s">
        <v>51</v>
      </c>
    </row>
    <row r="28" spans="1:14" ht="30" customHeight="1" x14ac:dyDescent="0.3">
      <c r="A28" s="17" t="s">
        <v>148</v>
      </c>
      <c r="B28" s="17" t="s">
        <v>145</v>
      </c>
      <c r="C28" s="17" t="s">
        <v>146</v>
      </c>
      <c r="D28" s="17" t="s">
        <v>132</v>
      </c>
      <c r="E28" s="27"/>
      <c r="F28" s="27"/>
      <c r="G28" s="27"/>
      <c r="H28" s="27"/>
      <c r="I28" s="17" t="s">
        <v>147</v>
      </c>
      <c r="J28" s="17" t="s">
        <v>51</v>
      </c>
      <c r="K28" s="17" t="s">
        <v>51</v>
      </c>
      <c r="L28" s="17" t="s">
        <v>51</v>
      </c>
      <c r="M28" s="17" t="s">
        <v>818</v>
      </c>
      <c r="N28" s="2" t="s">
        <v>51</v>
      </c>
    </row>
    <row r="29" spans="1:14" ht="30" customHeight="1" x14ac:dyDescent="0.3">
      <c r="A29" s="17" t="s">
        <v>153</v>
      </c>
      <c r="B29" s="17" t="s">
        <v>150</v>
      </c>
      <c r="C29" s="17" t="s">
        <v>151</v>
      </c>
      <c r="D29" s="17" t="s">
        <v>132</v>
      </c>
      <c r="E29" s="27"/>
      <c r="F29" s="27"/>
      <c r="G29" s="27"/>
      <c r="H29" s="27"/>
      <c r="I29" s="17" t="s">
        <v>152</v>
      </c>
      <c r="J29" s="17" t="s">
        <v>51</v>
      </c>
      <c r="K29" s="17" t="s">
        <v>51</v>
      </c>
      <c r="L29" s="17" t="s">
        <v>51</v>
      </c>
      <c r="M29" s="17" t="s">
        <v>868</v>
      </c>
      <c r="N29" s="2" t="s">
        <v>51</v>
      </c>
    </row>
    <row r="30" spans="1:14" ht="30" customHeight="1" x14ac:dyDescent="0.3">
      <c r="A30" s="17" t="s">
        <v>157</v>
      </c>
      <c r="B30" s="17" t="s">
        <v>155</v>
      </c>
      <c r="C30" s="17" t="s">
        <v>151</v>
      </c>
      <c r="D30" s="17" t="s">
        <v>132</v>
      </c>
      <c r="E30" s="27"/>
      <c r="F30" s="27"/>
      <c r="G30" s="27"/>
      <c r="H30" s="27"/>
      <c r="I30" s="17" t="s">
        <v>156</v>
      </c>
      <c r="J30" s="17" t="s">
        <v>51</v>
      </c>
      <c r="K30" s="17" t="s">
        <v>51</v>
      </c>
      <c r="L30" s="17" t="s">
        <v>51</v>
      </c>
      <c r="M30" s="17" t="s">
        <v>868</v>
      </c>
      <c r="N30" s="2" t="s">
        <v>51</v>
      </c>
    </row>
    <row r="31" spans="1:14" ht="30" customHeight="1" x14ac:dyDescent="0.3">
      <c r="A31" s="17" t="s">
        <v>162</v>
      </c>
      <c r="B31" s="17" t="s">
        <v>159</v>
      </c>
      <c r="C31" s="17" t="s">
        <v>160</v>
      </c>
      <c r="D31" s="17" t="s">
        <v>122</v>
      </c>
      <c r="E31" s="27"/>
      <c r="F31" s="27"/>
      <c r="G31" s="27"/>
      <c r="H31" s="27"/>
      <c r="I31" s="17" t="s">
        <v>161</v>
      </c>
      <c r="J31" s="17" t="s">
        <v>51</v>
      </c>
      <c r="K31" s="17" t="s">
        <v>51</v>
      </c>
      <c r="L31" s="17" t="s">
        <v>51</v>
      </c>
      <c r="M31" s="17" t="s">
        <v>883</v>
      </c>
      <c r="N31" s="2" t="s">
        <v>51</v>
      </c>
    </row>
    <row r="32" spans="1:14" ht="30" customHeight="1" x14ac:dyDescent="0.3">
      <c r="A32" s="17" t="s">
        <v>166</v>
      </c>
      <c r="B32" s="17" t="s">
        <v>164</v>
      </c>
      <c r="C32" s="17" t="s">
        <v>160</v>
      </c>
      <c r="D32" s="17" t="s">
        <v>122</v>
      </c>
      <c r="E32" s="27"/>
      <c r="F32" s="27"/>
      <c r="G32" s="27"/>
      <c r="H32" s="27"/>
      <c r="I32" s="17" t="s">
        <v>165</v>
      </c>
      <c r="J32" s="17" t="s">
        <v>51</v>
      </c>
      <c r="K32" s="17" t="s">
        <v>51</v>
      </c>
      <c r="L32" s="17" t="s">
        <v>51</v>
      </c>
      <c r="M32" s="17" t="s">
        <v>883</v>
      </c>
      <c r="N32" s="2" t="s">
        <v>51</v>
      </c>
    </row>
    <row r="33" spans="1:14" ht="30" customHeight="1" x14ac:dyDescent="0.3">
      <c r="A33" s="17" t="s">
        <v>124</v>
      </c>
      <c r="B33" s="17" t="s">
        <v>121</v>
      </c>
      <c r="C33" s="17" t="s">
        <v>51</v>
      </c>
      <c r="D33" s="17" t="s">
        <v>122</v>
      </c>
      <c r="E33" s="27"/>
      <c r="F33" s="27"/>
      <c r="G33" s="27"/>
      <c r="H33" s="27"/>
      <c r="I33" s="17" t="s">
        <v>123</v>
      </c>
      <c r="J33" s="17" t="s">
        <v>51</v>
      </c>
      <c r="K33" s="17" t="s">
        <v>51</v>
      </c>
      <c r="L33" s="17" t="s">
        <v>51</v>
      </c>
      <c r="M33" s="17" t="s">
        <v>883</v>
      </c>
      <c r="N33" s="2" t="s">
        <v>51</v>
      </c>
    </row>
    <row r="34" spans="1:14" ht="30" customHeight="1" x14ac:dyDescent="0.3">
      <c r="A34" s="17" t="s">
        <v>171</v>
      </c>
      <c r="B34" s="17" t="s">
        <v>168</v>
      </c>
      <c r="C34" s="17" t="s">
        <v>169</v>
      </c>
      <c r="D34" s="17" t="s">
        <v>93</v>
      </c>
      <c r="E34" s="27"/>
      <c r="F34" s="27"/>
      <c r="G34" s="27"/>
      <c r="H34" s="27"/>
      <c r="I34" s="17" t="s">
        <v>170</v>
      </c>
      <c r="J34" s="17" t="s">
        <v>51</v>
      </c>
      <c r="K34" s="17" t="s">
        <v>51</v>
      </c>
      <c r="L34" s="17" t="s">
        <v>51</v>
      </c>
      <c r="M34" s="17" t="s">
        <v>891</v>
      </c>
      <c r="N34" s="2" t="s">
        <v>51</v>
      </c>
    </row>
    <row r="35" spans="1:14" ht="30" customHeight="1" x14ac:dyDescent="0.3">
      <c r="A35" s="17" t="s">
        <v>129</v>
      </c>
      <c r="B35" s="17" t="s">
        <v>126</v>
      </c>
      <c r="C35" s="17" t="s">
        <v>127</v>
      </c>
      <c r="D35" s="17" t="s">
        <v>122</v>
      </c>
      <c r="E35" s="27"/>
      <c r="F35" s="27"/>
      <c r="G35" s="27"/>
      <c r="H35" s="27"/>
      <c r="I35" s="17" t="s">
        <v>128</v>
      </c>
      <c r="J35" s="17" t="s">
        <v>51</v>
      </c>
      <c r="K35" s="17" t="s">
        <v>51</v>
      </c>
      <c r="L35" s="17" t="s">
        <v>51</v>
      </c>
      <c r="M35" s="17" t="s">
        <v>904</v>
      </c>
      <c r="N35" s="2" t="s">
        <v>51</v>
      </c>
    </row>
    <row r="36" spans="1:14" ht="30" customHeight="1" x14ac:dyDescent="0.3">
      <c r="A36" s="17" t="s">
        <v>184</v>
      </c>
      <c r="B36" s="17" t="s">
        <v>181</v>
      </c>
      <c r="C36" s="17" t="s">
        <v>182</v>
      </c>
      <c r="D36" s="17" t="s">
        <v>122</v>
      </c>
      <c r="E36" s="27"/>
      <c r="F36" s="27"/>
      <c r="G36" s="27"/>
      <c r="H36" s="27"/>
      <c r="I36" s="17" t="s">
        <v>183</v>
      </c>
      <c r="J36" s="17" t="s">
        <v>51</v>
      </c>
      <c r="K36" s="17" t="s">
        <v>51</v>
      </c>
      <c r="L36" s="17" t="s">
        <v>51</v>
      </c>
      <c r="M36" s="17" t="s">
        <v>911</v>
      </c>
      <c r="N36" s="2" t="s">
        <v>51</v>
      </c>
    </row>
    <row r="37" spans="1:14" ht="30" customHeight="1" x14ac:dyDescent="0.3">
      <c r="A37" s="17" t="s">
        <v>184</v>
      </c>
      <c r="B37" s="17" t="s">
        <v>1885</v>
      </c>
      <c r="C37" s="23" t="s">
        <v>768</v>
      </c>
      <c r="D37" s="17" t="s">
        <v>1886</v>
      </c>
      <c r="E37" s="27"/>
      <c r="F37" s="27"/>
      <c r="G37" s="27"/>
      <c r="H37" s="27"/>
      <c r="I37" s="17" t="s">
        <v>1884</v>
      </c>
      <c r="J37" s="17" t="s">
        <v>51</v>
      </c>
      <c r="K37" s="17" t="s">
        <v>51</v>
      </c>
      <c r="L37" s="17" t="s">
        <v>51</v>
      </c>
      <c r="M37" s="17" t="s">
        <v>1887</v>
      </c>
      <c r="N37" s="2" t="s">
        <v>51</v>
      </c>
    </row>
  </sheetData>
  <phoneticPr fontId="1" type="noConversion"/>
  <pageMargins left="0.78740157480314954" right="0" top="0.39370078740157477" bottom="0.39370078740157477" header="0" footer="0"/>
  <pageSetup paperSize="9" scale="77" fitToHeight="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199"/>
  <sheetViews>
    <sheetView workbookViewId="0">
      <selection activeCell="I13" sqref="I13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  <col min="52" max="52" width="1.625" hidden="1" customWidth="1"/>
    <col min="53" max="53" width="0" hidden="1" customWidth="1"/>
  </cols>
  <sheetData>
    <row r="1" spans="1:52" ht="30" customHeight="1" x14ac:dyDescent="0.3">
      <c r="A1" s="6" t="str">
        <f>일위대가목록!B2</f>
        <v>[ 사옥 이산화탄소 소화설비 교체공사 ]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52" ht="30" customHeight="1" x14ac:dyDescent="0.3">
      <c r="A2" s="112" t="s">
        <v>2</v>
      </c>
      <c r="B2" s="112" t="s">
        <v>3</v>
      </c>
      <c r="C2" s="112" t="s">
        <v>4</v>
      </c>
      <c r="D2" s="112" t="s">
        <v>5</v>
      </c>
      <c r="E2" s="112" t="s">
        <v>6</v>
      </c>
      <c r="F2" s="112"/>
      <c r="G2" s="112" t="s">
        <v>9</v>
      </c>
      <c r="H2" s="112"/>
      <c r="I2" s="112" t="s">
        <v>10</v>
      </c>
      <c r="J2" s="112"/>
      <c r="K2" s="112" t="s">
        <v>11</v>
      </c>
      <c r="L2" s="112"/>
      <c r="M2" s="112" t="s">
        <v>12</v>
      </c>
      <c r="N2" s="114" t="s">
        <v>587</v>
      </c>
      <c r="O2" s="114" t="s">
        <v>20</v>
      </c>
      <c r="P2" s="114" t="s">
        <v>22</v>
      </c>
      <c r="Q2" s="114" t="s">
        <v>23</v>
      </c>
      <c r="R2" s="114" t="s">
        <v>24</v>
      </c>
      <c r="S2" s="114" t="s">
        <v>25</v>
      </c>
      <c r="T2" s="114" t="s">
        <v>26</v>
      </c>
      <c r="U2" s="114" t="s">
        <v>27</v>
      </c>
      <c r="V2" s="114" t="s">
        <v>28</v>
      </c>
      <c r="W2" s="114" t="s">
        <v>29</v>
      </c>
      <c r="X2" s="114" t="s">
        <v>30</v>
      </c>
      <c r="Y2" s="114" t="s">
        <v>31</v>
      </c>
      <c r="Z2" s="114" t="s">
        <v>32</v>
      </c>
      <c r="AA2" s="114" t="s">
        <v>33</v>
      </c>
      <c r="AB2" s="114" t="s">
        <v>34</v>
      </c>
      <c r="AC2" s="114" t="s">
        <v>35</v>
      </c>
      <c r="AD2" s="114" t="s">
        <v>36</v>
      </c>
      <c r="AE2" s="114" t="s">
        <v>37</v>
      </c>
      <c r="AF2" s="114" t="s">
        <v>38</v>
      </c>
      <c r="AG2" s="114" t="s">
        <v>39</v>
      </c>
      <c r="AH2" s="114" t="s">
        <v>40</v>
      </c>
      <c r="AI2" s="114" t="s">
        <v>41</v>
      </c>
      <c r="AJ2" s="114" t="s">
        <v>42</v>
      </c>
      <c r="AK2" s="114" t="s">
        <v>43</v>
      </c>
      <c r="AL2" s="114" t="s">
        <v>44</v>
      </c>
      <c r="AM2" s="114" t="s">
        <v>45</v>
      </c>
      <c r="AN2" s="114" t="s">
        <v>46</v>
      </c>
      <c r="AO2" s="114" t="s">
        <v>47</v>
      </c>
      <c r="AP2" s="114" t="s">
        <v>588</v>
      </c>
      <c r="AQ2" s="114" t="s">
        <v>589</v>
      </c>
      <c r="AR2" s="114" t="s">
        <v>590</v>
      </c>
      <c r="AS2" s="114" t="s">
        <v>591</v>
      </c>
      <c r="AT2" s="114" t="s">
        <v>592</v>
      </c>
      <c r="AU2" s="114" t="s">
        <v>593</v>
      </c>
      <c r="AV2" s="114" t="s">
        <v>48</v>
      </c>
      <c r="AW2" s="114" t="s">
        <v>594</v>
      </c>
      <c r="AX2" s="1" t="s">
        <v>586</v>
      </c>
      <c r="AY2" s="1" t="s">
        <v>21</v>
      </c>
      <c r="AZ2" s="1" t="s">
        <v>595</v>
      </c>
    </row>
    <row r="3" spans="1:52" ht="30" customHeight="1" x14ac:dyDescent="0.3">
      <c r="A3" s="112"/>
      <c r="B3" s="112"/>
      <c r="C3" s="112"/>
      <c r="D3" s="112"/>
      <c r="E3" s="10" t="s">
        <v>7</v>
      </c>
      <c r="F3" s="10" t="s">
        <v>8</v>
      </c>
      <c r="G3" s="10" t="s">
        <v>7</v>
      </c>
      <c r="H3" s="10" t="s">
        <v>8</v>
      </c>
      <c r="I3" s="10" t="s">
        <v>7</v>
      </c>
      <c r="J3" s="10" t="s">
        <v>8</v>
      </c>
      <c r="K3" s="10" t="s">
        <v>7</v>
      </c>
      <c r="L3" s="10" t="s">
        <v>8</v>
      </c>
      <c r="M3" s="112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114"/>
      <c r="AN3" s="114"/>
      <c r="AO3" s="114"/>
      <c r="AP3" s="114"/>
      <c r="AQ3" s="114"/>
      <c r="AR3" s="114"/>
      <c r="AS3" s="114"/>
      <c r="AT3" s="114"/>
      <c r="AU3" s="114"/>
      <c r="AV3" s="114"/>
      <c r="AW3" s="114"/>
    </row>
    <row r="4" spans="1:52" ht="30" customHeight="1" x14ac:dyDescent="0.3">
      <c r="A4" s="20" t="s">
        <v>596</v>
      </c>
      <c r="B4" s="21"/>
      <c r="C4" s="21"/>
      <c r="D4" s="21"/>
      <c r="E4" s="25"/>
      <c r="F4" s="28"/>
      <c r="G4" s="25"/>
      <c r="H4" s="28"/>
      <c r="I4" s="25"/>
      <c r="J4" s="28"/>
      <c r="K4" s="25"/>
      <c r="L4" s="28"/>
      <c r="M4" s="22"/>
      <c r="N4" s="1" t="s">
        <v>597</v>
      </c>
    </row>
    <row r="5" spans="1:52" ht="30" customHeight="1" x14ac:dyDescent="0.3">
      <c r="A5" s="23" t="s">
        <v>604</v>
      </c>
      <c r="B5" s="23" t="s">
        <v>599</v>
      </c>
      <c r="C5" s="23" t="s">
        <v>122</v>
      </c>
      <c r="D5" s="24"/>
      <c r="E5" s="26"/>
      <c r="F5" s="29"/>
      <c r="G5" s="26"/>
      <c r="H5" s="29"/>
      <c r="I5" s="26"/>
      <c r="J5" s="29"/>
      <c r="K5" s="26"/>
      <c r="L5" s="29"/>
      <c r="M5" s="23" t="s">
        <v>605</v>
      </c>
      <c r="N5" s="2" t="s">
        <v>597</v>
      </c>
      <c r="O5" s="2" t="s">
        <v>606</v>
      </c>
      <c r="P5" s="2" t="s">
        <v>61</v>
      </c>
      <c r="Q5" s="2" t="s">
        <v>61</v>
      </c>
      <c r="R5" s="2" t="s">
        <v>60</v>
      </c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2" t="s">
        <v>51</v>
      </c>
      <c r="AW5" s="2" t="s">
        <v>607</v>
      </c>
      <c r="AX5" s="2" t="s">
        <v>51</v>
      </c>
      <c r="AY5" s="2" t="s">
        <v>51</v>
      </c>
      <c r="AZ5" s="2" t="s">
        <v>51</v>
      </c>
    </row>
    <row r="6" spans="1:52" ht="30" customHeight="1" x14ac:dyDescent="0.3">
      <c r="A6" s="23" t="s">
        <v>608</v>
      </c>
      <c r="B6" s="23" t="s">
        <v>51</v>
      </c>
      <c r="C6" s="23" t="s">
        <v>51</v>
      </c>
      <c r="D6" s="24"/>
      <c r="E6" s="26"/>
      <c r="F6" s="29"/>
      <c r="G6" s="26"/>
      <c r="H6" s="29"/>
      <c r="I6" s="26"/>
      <c r="J6" s="29"/>
      <c r="K6" s="26"/>
      <c r="L6" s="29"/>
      <c r="M6" s="23" t="s">
        <v>51</v>
      </c>
      <c r="N6" s="2" t="s">
        <v>221</v>
      </c>
      <c r="O6" s="2" t="s">
        <v>221</v>
      </c>
      <c r="P6" s="2" t="s">
        <v>51</v>
      </c>
      <c r="Q6" s="2" t="s">
        <v>51</v>
      </c>
      <c r="R6" s="2" t="s">
        <v>51</v>
      </c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2" t="s">
        <v>51</v>
      </c>
      <c r="AW6" s="2" t="s">
        <v>51</v>
      </c>
      <c r="AX6" s="2" t="s">
        <v>51</v>
      </c>
      <c r="AY6" s="2" t="s">
        <v>51</v>
      </c>
      <c r="AZ6" s="2" t="s">
        <v>51</v>
      </c>
    </row>
    <row r="7" spans="1:52" ht="30" customHeight="1" x14ac:dyDescent="0.3">
      <c r="A7" s="24"/>
      <c r="B7" s="24"/>
      <c r="C7" s="24"/>
      <c r="D7" s="24"/>
      <c r="E7" s="26"/>
      <c r="F7" s="29"/>
      <c r="G7" s="26"/>
      <c r="H7" s="29"/>
      <c r="I7" s="26"/>
      <c r="J7" s="29"/>
      <c r="K7" s="26"/>
      <c r="L7" s="29"/>
      <c r="M7" s="24"/>
    </row>
    <row r="8" spans="1:52" ht="30" customHeight="1" x14ac:dyDescent="0.3">
      <c r="A8" s="20" t="s">
        <v>609</v>
      </c>
      <c r="B8" s="21"/>
      <c r="C8" s="21"/>
      <c r="D8" s="21"/>
      <c r="E8" s="25"/>
      <c r="F8" s="28"/>
      <c r="G8" s="25"/>
      <c r="H8" s="28"/>
      <c r="I8" s="25"/>
      <c r="J8" s="28"/>
      <c r="K8" s="25"/>
      <c r="L8" s="28"/>
      <c r="M8" s="22"/>
      <c r="N8" s="1" t="s">
        <v>610</v>
      </c>
    </row>
    <row r="9" spans="1:52" ht="30" customHeight="1" x14ac:dyDescent="0.3">
      <c r="A9" s="23" t="s">
        <v>611</v>
      </c>
      <c r="B9" s="23" t="s">
        <v>612</v>
      </c>
      <c r="C9" s="23" t="s">
        <v>122</v>
      </c>
      <c r="D9" s="24"/>
      <c r="E9" s="26"/>
      <c r="F9" s="29"/>
      <c r="G9" s="26"/>
      <c r="H9" s="29"/>
      <c r="I9" s="26"/>
      <c r="J9" s="29"/>
      <c r="K9" s="26"/>
      <c r="L9" s="29"/>
      <c r="M9" s="23" t="s">
        <v>615</v>
      </c>
      <c r="N9" s="2" t="s">
        <v>610</v>
      </c>
      <c r="O9" s="2" t="s">
        <v>616</v>
      </c>
      <c r="P9" s="2" t="s">
        <v>61</v>
      </c>
      <c r="Q9" s="2" t="s">
        <v>61</v>
      </c>
      <c r="R9" s="2" t="s">
        <v>60</v>
      </c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2" t="s">
        <v>51</v>
      </c>
      <c r="AW9" s="2" t="s">
        <v>617</v>
      </c>
      <c r="AX9" s="2" t="s">
        <v>51</v>
      </c>
      <c r="AY9" s="2" t="s">
        <v>51</v>
      </c>
      <c r="AZ9" s="2" t="s">
        <v>51</v>
      </c>
    </row>
    <row r="10" spans="1:52" ht="30" customHeight="1" x14ac:dyDescent="0.3">
      <c r="A10" s="23" t="s">
        <v>608</v>
      </c>
      <c r="B10" s="23" t="s">
        <v>51</v>
      </c>
      <c r="C10" s="23" t="s">
        <v>51</v>
      </c>
      <c r="D10" s="24"/>
      <c r="E10" s="26"/>
      <c r="F10" s="29"/>
      <c r="G10" s="26"/>
      <c r="H10" s="29"/>
      <c r="I10" s="26"/>
      <c r="J10" s="29"/>
      <c r="K10" s="26"/>
      <c r="L10" s="29"/>
      <c r="M10" s="23" t="s">
        <v>51</v>
      </c>
      <c r="N10" s="2" t="s">
        <v>221</v>
      </c>
      <c r="O10" s="2" t="s">
        <v>221</v>
      </c>
      <c r="P10" s="2" t="s">
        <v>51</v>
      </c>
      <c r="Q10" s="2" t="s">
        <v>51</v>
      </c>
      <c r="R10" s="2" t="s">
        <v>51</v>
      </c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2" t="s">
        <v>51</v>
      </c>
      <c r="AW10" s="2" t="s">
        <v>51</v>
      </c>
      <c r="AX10" s="2" t="s">
        <v>60</v>
      </c>
      <c r="AY10" s="2" t="s">
        <v>51</v>
      </c>
      <c r="AZ10" s="2" t="s">
        <v>51</v>
      </c>
    </row>
    <row r="11" spans="1:52" ht="30" customHeight="1" x14ac:dyDescent="0.3">
      <c r="A11" s="24"/>
      <c r="B11" s="24"/>
      <c r="C11" s="24"/>
      <c r="D11" s="24"/>
      <c r="E11" s="26"/>
      <c r="F11" s="29"/>
      <c r="G11" s="26"/>
      <c r="H11" s="29"/>
      <c r="I11" s="26"/>
      <c r="J11" s="29"/>
      <c r="K11" s="26"/>
      <c r="L11" s="29"/>
      <c r="M11" s="24"/>
    </row>
    <row r="12" spans="1:52" ht="30" customHeight="1" x14ac:dyDescent="0.3">
      <c r="A12" s="20" t="s">
        <v>618</v>
      </c>
      <c r="B12" s="21"/>
      <c r="C12" s="21"/>
      <c r="D12" s="21"/>
      <c r="E12" s="25"/>
      <c r="F12" s="28"/>
      <c r="G12" s="25"/>
      <c r="H12" s="28"/>
      <c r="I12" s="25"/>
      <c r="J12" s="28"/>
      <c r="K12" s="25"/>
      <c r="L12" s="28"/>
      <c r="M12" s="22"/>
      <c r="N12" s="1" t="s">
        <v>619</v>
      </c>
    </row>
    <row r="13" spans="1:52" ht="30" customHeight="1" x14ac:dyDescent="0.3">
      <c r="A13" s="23" t="s">
        <v>623</v>
      </c>
      <c r="B13" s="23" t="s">
        <v>624</v>
      </c>
      <c r="C13" s="23" t="s">
        <v>625</v>
      </c>
      <c r="D13" s="24"/>
      <c r="E13" s="26"/>
      <c r="F13" s="29"/>
      <c r="G13" s="26"/>
      <c r="H13" s="29"/>
      <c r="I13" s="26"/>
      <c r="J13" s="29"/>
      <c r="K13" s="26"/>
      <c r="L13" s="29"/>
      <c r="M13" s="23" t="s">
        <v>626</v>
      </c>
      <c r="N13" s="2" t="s">
        <v>619</v>
      </c>
      <c r="O13" s="2" t="s">
        <v>627</v>
      </c>
      <c r="P13" s="2" t="s">
        <v>61</v>
      </c>
      <c r="Q13" s="2" t="s">
        <v>61</v>
      </c>
      <c r="R13" s="2" t="s">
        <v>60</v>
      </c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2" t="s">
        <v>51</v>
      </c>
      <c r="AW13" s="2" t="s">
        <v>628</v>
      </c>
      <c r="AX13" s="2" t="s">
        <v>51</v>
      </c>
      <c r="AY13" s="2" t="s">
        <v>51</v>
      </c>
      <c r="AZ13" s="2" t="s">
        <v>51</v>
      </c>
    </row>
    <row r="14" spans="1:52" ht="30" customHeight="1" x14ac:dyDescent="0.3">
      <c r="A14" s="23" t="s">
        <v>629</v>
      </c>
      <c r="B14" s="23" t="s">
        <v>624</v>
      </c>
      <c r="C14" s="23" t="s">
        <v>625</v>
      </c>
      <c r="D14" s="24"/>
      <c r="E14" s="26"/>
      <c r="F14" s="29"/>
      <c r="G14" s="26"/>
      <c r="H14" s="29"/>
      <c r="I14" s="26"/>
      <c r="J14" s="29"/>
      <c r="K14" s="26"/>
      <c r="L14" s="29"/>
      <c r="M14" s="23" t="s">
        <v>630</v>
      </c>
      <c r="N14" s="2" t="s">
        <v>619</v>
      </c>
      <c r="O14" s="2" t="s">
        <v>631</v>
      </c>
      <c r="P14" s="2" t="s">
        <v>61</v>
      </c>
      <c r="Q14" s="2" t="s">
        <v>61</v>
      </c>
      <c r="R14" s="2" t="s">
        <v>60</v>
      </c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2" t="s">
        <v>51</v>
      </c>
      <c r="AW14" s="2" t="s">
        <v>632</v>
      </c>
      <c r="AX14" s="2" t="s">
        <v>51</v>
      </c>
      <c r="AY14" s="2" t="s">
        <v>51</v>
      </c>
      <c r="AZ14" s="2" t="s">
        <v>51</v>
      </c>
    </row>
    <row r="15" spans="1:52" ht="30" customHeight="1" x14ac:dyDescent="0.3">
      <c r="A15" s="23" t="s">
        <v>608</v>
      </c>
      <c r="B15" s="23" t="s">
        <v>51</v>
      </c>
      <c r="C15" s="23" t="s">
        <v>51</v>
      </c>
      <c r="D15" s="24"/>
      <c r="E15" s="26"/>
      <c r="F15" s="29"/>
      <c r="G15" s="26"/>
      <c r="H15" s="29"/>
      <c r="I15" s="26"/>
      <c r="J15" s="29"/>
      <c r="K15" s="26"/>
      <c r="L15" s="29"/>
      <c r="M15" s="23" t="s">
        <v>51</v>
      </c>
      <c r="N15" s="2" t="s">
        <v>221</v>
      </c>
      <c r="O15" s="2" t="s">
        <v>221</v>
      </c>
      <c r="P15" s="2" t="s">
        <v>51</v>
      </c>
      <c r="Q15" s="2" t="s">
        <v>51</v>
      </c>
      <c r="R15" s="2" t="s">
        <v>51</v>
      </c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2" t="s">
        <v>51</v>
      </c>
      <c r="AW15" s="2" t="s">
        <v>51</v>
      </c>
      <c r="AX15" s="2" t="s">
        <v>51</v>
      </c>
      <c r="AY15" s="2" t="s">
        <v>51</v>
      </c>
      <c r="AZ15" s="2" t="s">
        <v>51</v>
      </c>
    </row>
    <row r="16" spans="1:52" ht="30" customHeight="1" x14ac:dyDescent="0.3">
      <c r="A16" s="24"/>
      <c r="B16" s="24"/>
      <c r="C16" s="24"/>
      <c r="D16" s="24"/>
      <c r="E16" s="26"/>
      <c r="F16" s="29"/>
      <c r="G16" s="26"/>
      <c r="H16" s="29"/>
      <c r="I16" s="26"/>
      <c r="J16" s="29"/>
      <c r="K16" s="26"/>
      <c r="L16" s="29"/>
      <c r="M16" s="24"/>
    </row>
    <row r="17" spans="1:52" ht="30" customHeight="1" x14ac:dyDescent="0.3">
      <c r="A17" s="20" t="s">
        <v>633</v>
      </c>
      <c r="B17" s="21"/>
      <c r="C17" s="21"/>
      <c r="D17" s="21"/>
      <c r="E17" s="25"/>
      <c r="F17" s="28"/>
      <c r="G17" s="25"/>
      <c r="H17" s="28"/>
      <c r="I17" s="25"/>
      <c r="J17" s="28"/>
      <c r="K17" s="25"/>
      <c r="L17" s="28"/>
      <c r="M17" s="22"/>
      <c r="N17" s="1" t="s">
        <v>198</v>
      </c>
    </row>
    <row r="18" spans="1:52" ht="30" customHeight="1" x14ac:dyDescent="0.3">
      <c r="A18" s="23" t="s">
        <v>635</v>
      </c>
      <c r="B18" s="23" t="s">
        <v>636</v>
      </c>
      <c r="C18" s="23" t="s">
        <v>132</v>
      </c>
      <c r="D18" s="24"/>
      <c r="E18" s="26"/>
      <c r="F18" s="29"/>
      <c r="G18" s="26"/>
      <c r="H18" s="29"/>
      <c r="I18" s="26"/>
      <c r="J18" s="29"/>
      <c r="K18" s="26"/>
      <c r="L18" s="29"/>
      <c r="M18" s="23" t="s">
        <v>637</v>
      </c>
      <c r="N18" s="2" t="s">
        <v>198</v>
      </c>
      <c r="O18" s="2" t="s">
        <v>638</v>
      </c>
      <c r="P18" s="2" t="s">
        <v>61</v>
      </c>
      <c r="Q18" s="2" t="s">
        <v>61</v>
      </c>
      <c r="R18" s="2" t="s">
        <v>60</v>
      </c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2" t="s">
        <v>51</v>
      </c>
      <c r="AW18" s="2" t="s">
        <v>639</v>
      </c>
      <c r="AX18" s="2" t="s">
        <v>51</v>
      </c>
      <c r="AY18" s="2" t="s">
        <v>51</v>
      </c>
      <c r="AZ18" s="2" t="s">
        <v>51</v>
      </c>
    </row>
    <row r="19" spans="1:52" ht="30" customHeight="1" x14ac:dyDescent="0.3">
      <c r="A19" s="23" t="s">
        <v>635</v>
      </c>
      <c r="B19" s="23" t="s">
        <v>640</v>
      </c>
      <c r="C19" s="23" t="s">
        <v>132</v>
      </c>
      <c r="D19" s="24"/>
      <c r="E19" s="26"/>
      <c r="F19" s="29"/>
      <c r="G19" s="26"/>
      <c r="H19" s="29"/>
      <c r="I19" s="26"/>
      <c r="J19" s="29"/>
      <c r="K19" s="26"/>
      <c r="L19" s="29"/>
      <c r="M19" s="23" t="s">
        <v>641</v>
      </c>
      <c r="N19" s="2" t="s">
        <v>198</v>
      </c>
      <c r="O19" s="2" t="s">
        <v>642</v>
      </c>
      <c r="P19" s="2" t="s">
        <v>61</v>
      </c>
      <c r="Q19" s="2" t="s">
        <v>61</v>
      </c>
      <c r="R19" s="2" t="s">
        <v>60</v>
      </c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2" t="s">
        <v>51</v>
      </c>
      <c r="AW19" s="2" t="s">
        <v>643</v>
      </c>
      <c r="AX19" s="2" t="s">
        <v>51</v>
      </c>
      <c r="AY19" s="2" t="s">
        <v>51</v>
      </c>
      <c r="AZ19" s="2" t="s">
        <v>51</v>
      </c>
    </row>
    <row r="20" spans="1:52" ht="30" customHeight="1" x14ac:dyDescent="0.3">
      <c r="A20" s="23" t="s">
        <v>635</v>
      </c>
      <c r="B20" s="23" t="s">
        <v>644</v>
      </c>
      <c r="C20" s="23" t="s">
        <v>132</v>
      </c>
      <c r="D20" s="24"/>
      <c r="E20" s="26"/>
      <c r="F20" s="29"/>
      <c r="G20" s="26"/>
      <c r="H20" s="29"/>
      <c r="I20" s="26"/>
      <c r="J20" s="29"/>
      <c r="K20" s="26"/>
      <c r="L20" s="29"/>
      <c r="M20" s="23" t="s">
        <v>645</v>
      </c>
      <c r="N20" s="2" t="s">
        <v>198</v>
      </c>
      <c r="O20" s="2" t="s">
        <v>646</v>
      </c>
      <c r="P20" s="2" t="s">
        <v>61</v>
      </c>
      <c r="Q20" s="2" t="s">
        <v>61</v>
      </c>
      <c r="R20" s="2" t="s">
        <v>60</v>
      </c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2" t="s">
        <v>51</v>
      </c>
      <c r="AW20" s="2" t="s">
        <v>647</v>
      </c>
      <c r="AX20" s="2" t="s">
        <v>51</v>
      </c>
      <c r="AY20" s="2" t="s">
        <v>51</v>
      </c>
      <c r="AZ20" s="2" t="s">
        <v>51</v>
      </c>
    </row>
    <row r="21" spans="1:52" ht="30" customHeight="1" x14ac:dyDescent="0.3">
      <c r="A21" s="23" t="s">
        <v>635</v>
      </c>
      <c r="B21" s="23" t="s">
        <v>648</v>
      </c>
      <c r="C21" s="23" t="s">
        <v>132</v>
      </c>
      <c r="D21" s="24"/>
      <c r="E21" s="26"/>
      <c r="F21" s="29"/>
      <c r="G21" s="26"/>
      <c r="H21" s="29"/>
      <c r="I21" s="26"/>
      <c r="J21" s="29"/>
      <c r="K21" s="26"/>
      <c r="L21" s="29"/>
      <c r="M21" s="23" t="s">
        <v>649</v>
      </c>
      <c r="N21" s="2" t="s">
        <v>198</v>
      </c>
      <c r="O21" s="2" t="s">
        <v>650</v>
      </c>
      <c r="P21" s="2" t="s">
        <v>61</v>
      </c>
      <c r="Q21" s="2" t="s">
        <v>61</v>
      </c>
      <c r="R21" s="2" t="s">
        <v>60</v>
      </c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2" t="s">
        <v>51</v>
      </c>
      <c r="AW21" s="2" t="s">
        <v>651</v>
      </c>
      <c r="AX21" s="2" t="s">
        <v>51</v>
      </c>
      <c r="AY21" s="2" t="s">
        <v>51</v>
      </c>
      <c r="AZ21" s="2" t="s">
        <v>51</v>
      </c>
    </row>
    <row r="22" spans="1:52" ht="30" customHeight="1" x14ac:dyDescent="0.3">
      <c r="A22" s="23" t="s">
        <v>635</v>
      </c>
      <c r="B22" s="23" t="s">
        <v>652</v>
      </c>
      <c r="C22" s="23" t="s">
        <v>132</v>
      </c>
      <c r="D22" s="24"/>
      <c r="E22" s="26"/>
      <c r="F22" s="29"/>
      <c r="G22" s="26"/>
      <c r="H22" s="29"/>
      <c r="I22" s="26"/>
      <c r="J22" s="29"/>
      <c r="K22" s="26"/>
      <c r="L22" s="29"/>
      <c r="M22" s="23" t="s">
        <v>653</v>
      </c>
      <c r="N22" s="2" t="s">
        <v>198</v>
      </c>
      <c r="O22" s="2" t="s">
        <v>654</v>
      </c>
      <c r="P22" s="2" t="s">
        <v>61</v>
      </c>
      <c r="Q22" s="2" t="s">
        <v>61</v>
      </c>
      <c r="R22" s="2" t="s">
        <v>60</v>
      </c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2" t="s">
        <v>51</v>
      </c>
      <c r="AW22" s="2" t="s">
        <v>655</v>
      </c>
      <c r="AX22" s="2" t="s">
        <v>51</v>
      </c>
      <c r="AY22" s="2" t="s">
        <v>51</v>
      </c>
      <c r="AZ22" s="2" t="s">
        <v>51</v>
      </c>
    </row>
    <row r="23" spans="1:52" ht="30" customHeight="1" x14ac:dyDescent="0.3">
      <c r="A23" s="23" t="s">
        <v>635</v>
      </c>
      <c r="B23" s="23" t="s">
        <v>656</v>
      </c>
      <c r="C23" s="23" t="s">
        <v>132</v>
      </c>
      <c r="D23" s="24"/>
      <c r="E23" s="26"/>
      <c r="F23" s="29"/>
      <c r="G23" s="26"/>
      <c r="H23" s="29"/>
      <c r="I23" s="26"/>
      <c r="J23" s="29"/>
      <c r="K23" s="26"/>
      <c r="L23" s="29"/>
      <c r="M23" s="23" t="s">
        <v>657</v>
      </c>
      <c r="N23" s="2" t="s">
        <v>198</v>
      </c>
      <c r="O23" s="2" t="s">
        <v>658</v>
      </c>
      <c r="P23" s="2" t="s">
        <v>61</v>
      </c>
      <c r="Q23" s="2" t="s">
        <v>61</v>
      </c>
      <c r="R23" s="2" t="s">
        <v>60</v>
      </c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2" t="s">
        <v>51</v>
      </c>
      <c r="AW23" s="2" t="s">
        <v>659</v>
      </c>
      <c r="AX23" s="2" t="s">
        <v>51</v>
      </c>
      <c r="AY23" s="2" t="s">
        <v>51</v>
      </c>
      <c r="AZ23" s="2" t="s">
        <v>51</v>
      </c>
    </row>
    <row r="24" spans="1:52" ht="30" customHeight="1" x14ac:dyDescent="0.3">
      <c r="A24" s="23" t="s">
        <v>635</v>
      </c>
      <c r="B24" s="23" t="s">
        <v>660</v>
      </c>
      <c r="C24" s="23" t="s">
        <v>132</v>
      </c>
      <c r="D24" s="24"/>
      <c r="E24" s="26"/>
      <c r="F24" s="29"/>
      <c r="G24" s="26"/>
      <c r="H24" s="29"/>
      <c r="I24" s="26"/>
      <c r="J24" s="29"/>
      <c r="K24" s="26"/>
      <c r="L24" s="29"/>
      <c r="M24" s="23" t="s">
        <v>661</v>
      </c>
      <c r="N24" s="2" t="s">
        <v>198</v>
      </c>
      <c r="O24" s="2" t="s">
        <v>662</v>
      </c>
      <c r="P24" s="2" t="s">
        <v>61</v>
      </c>
      <c r="Q24" s="2" t="s">
        <v>61</v>
      </c>
      <c r="R24" s="2" t="s">
        <v>60</v>
      </c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2" t="s">
        <v>51</v>
      </c>
      <c r="AW24" s="2" t="s">
        <v>663</v>
      </c>
      <c r="AX24" s="2" t="s">
        <v>51</v>
      </c>
      <c r="AY24" s="2" t="s">
        <v>51</v>
      </c>
      <c r="AZ24" s="2" t="s">
        <v>51</v>
      </c>
    </row>
    <row r="25" spans="1:52" ht="30" customHeight="1" x14ac:dyDescent="0.3">
      <c r="A25" s="23" t="s">
        <v>635</v>
      </c>
      <c r="B25" s="23" t="s">
        <v>664</v>
      </c>
      <c r="C25" s="23" t="s">
        <v>132</v>
      </c>
      <c r="D25" s="24"/>
      <c r="E25" s="26"/>
      <c r="F25" s="29"/>
      <c r="G25" s="26"/>
      <c r="H25" s="29"/>
      <c r="I25" s="26"/>
      <c r="J25" s="29"/>
      <c r="K25" s="26"/>
      <c r="L25" s="29"/>
      <c r="M25" s="23" t="s">
        <v>665</v>
      </c>
      <c r="N25" s="2" t="s">
        <v>198</v>
      </c>
      <c r="O25" s="2" t="s">
        <v>666</v>
      </c>
      <c r="P25" s="2" t="s">
        <v>61</v>
      </c>
      <c r="Q25" s="2" t="s">
        <v>61</v>
      </c>
      <c r="R25" s="2" t="s">
        <v>60</v>
      </c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2" t="s">
        <v>51</v>
      </c>
      <c r="AW25" s="2" t="s">
        <v>667</v>
      </c>
      <c r="AX25" s="2" t="s">
        <v>51</v>
      </c>
      <c r="AY25" s="2" t="s">
        <v>51</v>
      </c>
      <c r="AZ25" s="2" t="s">
        <v>51</v>
      </c>
    </row>
    <row r="26" spans="1:52" ht="30" customHeight="1" x14ac:dyDescent="0.3">
      <c r="A26" s="23" t="s">
        <v>635</v>
      </c>
      <c r="B26" s="23" t="s">
        <v>668</v>
      </c>
      <c r="C26" s="23" t="s">
        <v>132</v>
      </c>
      <c r="D26" s="24"/>
      <c r="E26" s="26"/>
      <c r="F26" s="29"/>
      <c r="G26" s="26"/>
      <c r="H26" s="29"/>
      <c r="I26" s="26"/>
      <c r="J26" s="29"/>
      <c r="K26" s="26"/>
      <c r="L26" s="29"/>
      <c r="M26" s="23" t="s">
        <v>669</v>
      </c>
      <c r="N26" s="2" t="s">
        <v>198</v>
      </c>
      <c r="O26" s="2" t="s">
        <v>670</v>
      </c>
      <c r="P26" s="2" t="s">
        <v>61</v>
      </c>
      <c r="Q26" s="2" t="s">
        <v>61</v>
      </c>
      <c r="R26" s="2" t="s">
        <v>60</v>
      </c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2" t="s">
        <v>51</v>
      </c>
      <c r="AW26" s="2" t="s">
        <v>671</v>
      </c>
      <c r="AX26" s="2" t="s">
        <v>51</v>
      </c>
      <c r="AY26" s="2" t="s">
        <v>51</v>
      </c>
      <c r="AZ26" s="2" t="s">
        <v>51</v>
      </c>
    </row>
    <row r="27" spans="1:52" ht="30" customHeight="1" x14ac:dyDescent="0.3">
      <c r="A27" s="23" t="s">
        <v>635</v>
      </c>
      <c r="B27" s="23" t="s">
        <v>672</v>
      </c>
      <c r="C27" s="23" t="s">
        <v>673</v>
      </c>
      <c r="D27" s="24"/>
      <c r="E27" s="26"/>
      <c r="F27" s="29"/>
      <c r="G27" s="26"/>
      <c r="H27" s="29"/>
      <c r="I27" s="26"/>
      <c r="J27" s="29"/>
      <c r="K27" s="26"/>
      <c r="L27" s="29"/>
      <c r="M27" s="23" t="s">
        <v>674</v>
      </c>
      <c r="N27" s="2" t="s">
        <v>198</v>
      </c>
      <c r="O27" s="2" t="s">
        <v>675</v>
      </c>
      <c r="P27" s="2" t="s">
        <v>61</v>
      </c>
      <c r="Q27" s="2" t="s">
        <v>61</v>
      </c>
      <c r="R27" s="2" t="s">
        <v>60</v>
      </c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2" t="s">
        <v>51</v>
      </c>
      <c r="AW27" s="2" t="s">
        <v>676</v>
      </c>
      <c r="AX27" s="2" t="s">
        <v>51</v>
      </c>
      <c r="AY27" s="2" t="s">
        <v>51</v>
      </c>
      <c r="AZ27" s="2" t="s">
        <v>51</v>
      </c>
    </row>
    <row r="28" spans="1:52" ht="30" customHeight="1" x14ac:dyDescent="0.3">
      <c r="A28" s="23" t="s">
        <v>195</v>
      </c>
      <c r="B28" s="23" t="s">
        <v>620</v>
      </c>
      <c r="C28" s="23" t="s">
        <v>122</v>
      </c>
      <c r="D28" s="24"/>
      <c r="E28" s="26"/>
      <c r="F28" s="29"/>
      <c r="G28" s="26"/>
      <c r="H28" s="29"/>
      <c r="I28" s="26"/>
      <c r="J28" s="29"/>
      <c r="K28" s="26"/>
      <c r="L28" s="29"/>
      <c r="M28" s="23" t="s">
        <v>621</v>
      </c>
      <c r="N28" s="2" t="s">
        <v>198</v>
      </c>
      <c r="O28" s="2" t="s">
        <v>619</v>
      </c>
      <c r="P28" s="2" t="s">
        <v>60</v>
      </c>
      <c r="Q28" s="2" t="s">
        <v>61</v>
      </c>
      <c r="R28" s="2" t="s">
        <v>61</v>
      </c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2" t="s">
        <v>51</v>
      </c>
      <c r="AW28" s="2" t="s">
        <v>677</v>
      </c>
      <c r="AX28" s="2" t="s">
        <v>51</v>
      </c>
      <c r="AY28" s="2" t="s">
        <v>51</v>
      </c>
      <c r="AZ28" s="2" t="s">
        <v>51</v>
      </c>
    </row>
    <row r="29" spans="1:52" ht="30" customHeight="1" x14ac:dyDescent="0.3">
      <c r="A29" s="23" t="s">
        <v>608</v>
      </c>
      <c r="B29" s="23" t="s">
        <v>51</v>
      </c>
      <c r="C29" s="23" t="s">
        <v>51</v>
      </c>
      <c r="D29" s="24"/>
      <c r="E29" s="26"/>
      <c r="F29" s="29"/>
      <c r="G29" s="26"/>
      <c r="H29" s="29"/>
      <c r="I29" s="26"/>
      <c r="J29" s="29"/>
      <c r="K29" s="26"/>
      <c r="L29" s="29"/>
      <c r="M29" s="23" t="s">
        <v>51</v>
      </c>
      <c r="N29" s="2" t="s">
        <v>221</v>
      </c>
      <c r="O29" s="2" t="s">
        <v>221</v>
      </c>
      <c r="P29" s="2" t="s">
        <v>51</v>
      </c>
      <c r="Q29" s="2" t="s">
        <v>51</v>
      </c>
      <c r="R29" s="2" t="s">
        <v>51</v>
      </c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2" t="s">
        <v>51</v>
      </c>
      <c r="AW29" s="2" t="s">
        <v>51</v>
      </c>
      <c r="AX29" s="2" t="s">
        <v>51</v>
      </c>
      <c r="AY29" s="2" t="s">
        <v>51</v>
      </c>
      <c r="AZ29" s="2" t="s">
        <v>51</v>
      </c>
    </row>
    <row r="30" spans="1:52" ht="30" customHeight="1" x14ac:dyDescent="0.3">
      <c r="A30" s="24"/>
      <c r="B30" s="24"/>
      <c r="C30" s="24"/>
      <c r="D30" s="24"/>
      <c r="E30" s="26"/>
      <c r="F30" s="29"/>
      <c r="G30" s="26"/>
      <c r="H30" s="29"/>
      <c r="I30" s="26"/>
      <c r="J30" s="29"/>
      <c r="K30" s="26"/>
      <c r="L30" s="29"/>
      <c r="M30" s="24"/>
    </row>
    <row r="31" spans="1:52" ht="30" customHeight="1" x14ac:dyDescent="0.3">
      <c r="A31" s="20" t="s">
        <v>678</v>
      </c>
      <c r="B31" s="21"/>
      <c r="C31" s="21"/>
      <c r="D31" s="21"/>
      <c r="E31" s="25"/>
      <c r="F31" s="28"/>
      <c r="G31" s="25"/>
      <c r="H31" s="28"/>
      <c r="I31" s="25"/>
      <c r="J31" s="28"/>
      <c r="K31" s="25"/>
      <c r="L31" s="28"/>
      <c r="M31" s="22"/>
      <c r="N31" s="1" t="s">
        <v>109</v>
      </c>
    </row>
    <row r="32" spans="1:52" ht="30" customHeight="1" x14ac:dyDescent="0.3">
      <c r="A32" s="23" t="s">
        <v>680</v>
      </c>
      <c r="B32" s="23" t="s">
        <v>681</v>
      </c>
      <c r="C32" s="23" t="s">
        <v>107</v>
      </c>
      <c r="D32" s="24"/>
      <c r="E32" s="26"/>
      <c r="F32" s="29"/>
      <c r="G32" s="26"/>
      <c r="H32" s="29"/>
      <c r="I32" s="26"/>
      <c r="J32" s="29"/>
      <c r="K32" s="26"/>
      <c r="L32" s="29"/>
      <c r="M32" s="23" t="s">
        <v>682</v>
      </c>
      <c r="N32" s="2" t="s">
        <v>109</v>
      </c>
      <c r="O32" s="2" t="s">
        <v>683</v>
      </c>
      <c r="P32" s="2" t="s">
        <v>61</v>
      </c>
      <c r="Q32" s="2" t="s">
        <v>61</v>
      </c>
      <c r="R32" s="2" t="s">
        <v>60</v>
      </c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2" t="s">
        <v>51</v>
      </c>
      <c r="AW32" s="2" t="s">
        <v>684</v>
      </c>
      <c r="AX32" s="2" t="s">
        <v>51</v>
      </c>
      <c r="AY32" s="2" t="s">
        <v>51</v>
      </c>
      <c r="AZ32" s="2" t="s">
        <v>51</v>
      </c>
    </row>
    <row r="33" spans="1:52" ht="30" customHeight="1" x14ac:dyDescent="0.3">
      <c r="A33" s="23" t="s">
        <v>685</v>
      </c>
      <c r="B33" s="23" t="s">
        <v>686</v>
      </c>
      <c r="C33" s="23" t="s">
        <v>687</v>
      </c>
      <c r="D33" s="24"/>
      <c r="E33" s="26"/>
      <c r="F33" s="29"/>
      <c r="G33" s="26"/>
      <c r="H33" s="29"/>
      <c r="I33" s="26"/>
      <c r="J33" s="29"/>
      <c r="K33" s="26"/>
      <c r="L33" s="29"/>
      <c r="M33" s="23" t="s">
        <v>688</v>
      </c>
      <c r="N33" s="2" t="s">
        <v>109</v>
      </c>
      <c r="O33" s="2" t="s">
        <v>689</v>
      </c>
      <c r="P33" s="2" t="s">
        <v>61</v>
      </c>
      <c r="Q33" s="2" t="s">
        <v>61</v>
      </c>
      <c r="R33" s="2" t="s">
        <v>60</v>
      </c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2" t="s">
        <v>51</v>
      </c>
      <c r="AW33" s="2" t="s">
        <v>690</v>
      </c>
      <c r="AX33" s="2" t="s">
        <v>51</v>
      </c>
      <c r="AY33" s="2" t="s">
        <v>51</v>
      </c>
      <c r="AZ33" s="2" t="s">
        <v>51</v>
      </c>
    </row>
    <row r="34" spans="1:52" ht="30" customHeight="1" x14ac:dyDescent="0.3">
      <c r="A34" s="23" t="s">
        <v>691</v>
      </c>
      <c r="B34" s="23" t="s">
        <v>692</v>
      </c>
      <c r="C34" s="23" t="s">
        <v>107</v>
      </c>
      <c r="D34" s="24"/>
      <c r="E34" s="26"/>
      <c r="F34" s="29"/>
      <c r="G34" s="26"/>
      <c r="H34" s="29"/>
      <c r="I34" s="26"/>
      <c r="J34" s="29"/>
      <c r="K34" s="26"/>
      <c r="L34" s="29"/>
      <c r="M34" s="23" t="s">
        <v>693</v>
      </c>
      <c r="N34" s="2" t="s">
        <v>109</v>
      </c>
      <c r="O34" s="2" t="s">
        <v>694</v>
      </c>
      <c r="P34" s="2" t="s">
        <v>61</v>
      </c>
      <c r="Q34" s="2" t="s">
        <v>61</v>
      </c>
      <c r="R34" s="2" t="s">
        <v>60</v>
      </c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2" t="s">
        <v>51</v>
      </c>
      <c r="AW34" s="2" t="s">
        <v>695</v>
      </c>
      <c r="AX34" s="2" t="s">
        <v>51</v>
      </c>
      <c r="AY34" s="2" t="s">
        <v>51</v>
      </c>
      <c r="AZ34" s="2" t="s">
        <v>51</v>
      </c>
    </row>
    <row r="35" spans="1:52" ht="30" customHeight="1" x14ac:dyDescent="0.3">
      <c r="A35" s="23" t="s">
        <v>611</v>
      </c>
      <c r="B35" s="23" t="s">
        <v>612</v>
      </c>
      <c r="C35" s="23" t="s">
        <v>600</v>
      </c>
      <c r="D35" s="24"/>
      <c r="E35" s="26"/>
      <c r="F35" s="29"/>
      <c r="G35" s="26"/>
      <c r="H35" s="29"/>
      <c r="I35" s="26"/>
      <c r="J35" s="29"/>
      <c r="K35" s="26"/>
      <c r="L35" s="29"/>
      <c r="M35" s="23" t="s">
        <v>613</v>
      </c>
      <c r="N35" s="2" t="s">
        <v>109</v>
      </c>
      <c r="O35" s="2" t="s">
        <v>610</v>
      </c>
      <c r="P35" s="2" t="s">
        <v>60</v>
      </c>
      <c r="Q35" s="2" t="s">
        <v>61</v>
      </c>
      <c r="R35" s="2" t="s">
        <v>61</v>
      </c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2" t="s">
        <v>51</v>
      </c>
      <c r="AW35" s="2" t="s">
        <v>696</v>
      </c>
      <c r="AX35" s="2" t="s">
        <v>51</v>
      </c>
      <c r="AY35" s="2" t="s">
        <v>51</v>
      </c>
      <c r="AZ35" s="2" t="s">
        <v>51</v>
      </c>
    </row>
    <row r="36" spans="1:52" ht="30" customHeight="1" x14ac:dyDescent="0.3">
      <c r="A36" s="23" t="s">
        <v>697</v>
      </c>
      <c r="B36" s="23" t="s">
        <v>624</v>
      </c>
      <c r="C36" s="23" t="s">
        <v>625</v>
      </c>
      <c r="D36" s="24"/>
      <c r="E36" s="26"/>
      <c r="F36" s="29"/>
      <c r="G36" s="26"/>
      <c r="H36" s="29"/>
      <c r="I36" s="26"/>
      <c r="J36" s="29"/>
      <c r="K36" s="26"/>
      <c r="L36" s="29"/>
      <c r="M36" s="23" t="s">
        <v>1891</v>
      </c>
      <c r="N36" s="2" t="s">
        <v>109</v>
      </c>
      <c r="O36" s="2" t="s">
        <v>699</v>
      </c>
      <c r="P36" s="2" t="s">
        <v>61</v>
      </c>
      <c r="Q36" s="2" t="s">
        <v>61</v>
      </c>
      <c r="R36" s="2" t="s">
        <v>60</v>
      </c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2" t="s">
        <v>51</v>
      </c>
      <c r="AW36" s="2" t="s">
        <v>700</v>
      </c>
      <c r="AX36" s="2" t="s">
        <v>51</v>
      </c>
      <c r="AY36" s="2" t="s">
        <v>51</v>
      </c>
      <c r="AZ36" s="2" t="s">
        <v>51</v>
      </c>
    </row>
    <row r="37" spans="1:52" ht="30" customHeight="1" x14ac:dyDescent="0.3">
      <c r="A37" s="23" t="s">
        <v>629</v>
      </c>
      <c r="B37" s="23" t="s">
        <v>624</v>
      </c>
      <c r="C37" s="23" t="s">
        <v>625</v>
      </c>
      <c r="D37" s="24"/>
      <c r="E37" s="26"/>
      <c r="F37" s="29"/>
      <c r="G37" s="26"/>
      <c r="H37" s="29"/>
      <c r="I37" s="26"/>
      <c r="J37" s="29"/>
      <c r="K37" s="26"/>
      <c r="L37" s="29"/>
      <c r="M37" s="23" t="s">
        <v>630</v>
      </c>
      <c r="N37" s="2" t="s">
        <v>109</v>
      </c>
      <c r="O37" s="2" t="s">
        <v>631</v>
      </c>
      <c r="P37" s="2" t="s">
        <v>61</v>
      </c>
      <c r="Q37" s="2" t="s">
        <v>61</v>
      </c>
      <c r="R37" s="2" t="s">
        <v>60</v>
      </c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2" t="s">
        <v>51</v>
      </c>
      <c r="AW37" s="2" t="s">
        <v>701</v>
      </c>
      <c r="AX37" s="2" t="s">
        <v>51</v>
      </c>
      <c r="AY37" s="2" t="s">
        <v>51</v>
      </c>
      <c r="AZ37" s="2" t="s">
        <v>51</v>
      </c>
    </row>
    <row r="38" spans="1:52" ht="30" customHeight="1" x14ac:dyDescent="0.3">
      <c r="A38" s="23" t="s">
        <v>702</v>
      </c>
      <c r="B38" s="23" t="s">
        <v>624</v>
      </c>
      <c r="C38" s="23" t="s">
        <v>625</v>
      </c>
      <c r="D38" s="24"/>
      <c r="E38" s="26"/>
      <c r="F38" s="29"/>
      <c r="G38" s="26"/>
      <c r="H38" s="29"/>
      <c r="I38" s="26"/>
      <c r="J38" s="29"/>
      <c r="K38" s="26"/>
      <c r="L38" s="29"/>
      <c r="M38" s="23" t="s">
        <v>1892</v>
      </c>
      <c r="N38" s="2" t="s">
        <v>109</v>
      </c>
      <c r="O38" s="2" t="s">
        <v>704</v>
      </c>
      <c r="P38" s="2" t="s">
        <v>61</v>
      </c>
      <c r="Q38" s="2" t="s">
        <v>61</v>
      </c>
      <c r="R38" s="2" t="s">
        <v>60</v>
      </c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2" t="s">
        <v>51</v>
      </c>
      <c r="AW38" s="2" t="s">
        <v>705</v>
      </c>
      <c r="AX38" s="2" t="s">
        <v>51</v>
      </c>
      <c r="AY38" s="2" t="s">
        <v>51</v>
      </c>
      <c r="AZ38" s="2" t="s">
        <v>51</v>
      </c>
    </row>
    <row r="39" spans="1:52" ht="30" customHeight="1" x14ac:dyDescent="0.3">
      <c r="A39" s="23" t="s">
        <v>706</v>
      </c>
      <c r="B39" s="23" t="s">
        <v>624</v>
      </c>
      <c r="C39" s="23" t="s">
        <v>625</v>
      </c>
      <c r="D39" s="24"/>
      <c r="E39" s="26"/>
      <c r="F39" s="29"/>
      <c r="G39" s="26"/>
      <c r="H39" s="29"/>
      <c r="I39" s="26"/>
      <c r="J39" s="29"/>
      <c r="K39" s="26"/>
      <c r="L39" s="29"/>
      <c r="M39" s="23" t="s">
        <v>707</v>
      </c>
      <c r="N39" s="2" t="s">
        <v>109</v>
      </c>
      <c r="O39" s="2" t="s">
        <v>708</v>
      </c>
      <c r="P39" s="2" t="s">
        <v>61</v>
      </c>
      <c r="Q39" s="2" t="s">
        <v>61</v>
      </c>
      <c r="R39" s="2" t="s">
        <v>60</v>
      </c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2" t="s">
        <v>51</v>
      </c>
      <c r="AW39" s="2" t="s">
        <v>709</v>
      </c>
      <c r="AX39" s="2" t="s">
        <v>51</v>
      </c>
      <c r="AY39" s="2" t="s">
        <v>51</v>
      </c>
      <c r="AZ39" s="2" t="s">
        <v>51</v>
      </c>
    </row>
    <row r="40" spans="1:52" ht="30" customHeight="1" x14ac:dyDescent="0.3">
      <c r="A40" s="23" t="s">
        <v>608</v>
      </c>
      <c r="B40" s="23" t="s">
        <v>51</v>
      </c>
      <c r="C40" s="23" t="s">
        <v>51</v>
      </c>
      <c r="D40" s="24"/>
      <c r="E40" s="26"/>
      <c r="F40" s="29"/>
      <c r="G40" s="26"/>
      <c r="H40" s="29"/>
      <c r="I40" s="26"/>
      <c r="J40" s="29"/>
      <c r="K40" s="26"/>
      <c r="L40" s="29"/>
      <c r="M40" s="23" t="s">
        <v>51</v>
      </c>
      <c r="N40" s="2" t="s">
        <v>221</v>
      </c>
      <c r="O40" s="2" t="s">
        <v>221</v>
      </c>
      <c r="P40" s="2" t="s">
        <v>51</v>
      </c>
      <c r="Q40" s="2" t="s">
        <v>51</v>
      </c>
      <c r="R40" s="2" t="s">
        <v>51</v>
      </c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2" t="s">
        <v>51</v>
      </c>
      <c r="AW40" s="2" t="s">
        <v>51</v>
      </c>
      <c r="AX40" s="2" t="s">
        <v>51</v>
      </c>
      <c r="AY40" s="2" t="s">
        <v>51</v>
      </c>
      <c r="AZ40" s="2" t="s">
        <v>51</v>
      </c>
    </row>
    <row r="41" spans="1:52" ht="30" customHeight="1" x14ac:dyDescent="0.3">
      <c r="A41" s="24"/>
      <c r="B41" s="24"/>
      <c r="C41" s="24"/>
      <c r="D41" s="24"/>
      <c r="E41" s="26"/>
      <c r="F41" s="29"/>
      <c r="G41" s="26"/>
      <c r="H41" s="29"/>
      <c r="I41" s="26"/>
      <c r="J41" s="29"/>
      <c r="K41" s="26"/>
      <c r="L41" s="29"/>
      <c r="M41" s="24"/>
    </row>
    <row r="42" spans="1:52" ht="30" customHeight="1" x14ac:dyDescent="0.3">
      <c r="A42" s="20" t="s">
        <v>710</v>
      </c>
      <c r="B42" s="21"/>
      <c r="C42" s="21"/>
      <c r="D42" s="21"/>
      <c r="E42" s="25"/>
      <c r="F42" s="28"/>
      <c r="G42" s="25"/>
      <c r="H42" s="28"/>
      <c r="I42" s="25"/>
      <c r="J42" s="28"/>
      <c r="K42" s="25"/>
      <c r="L42" s="28"/>
      <c r="M42" s="22"/>
      <c r="N42" s="1" t="s">
        <v>114</v>
      </c>
    </row>
    <row r="43" spans="1:52" ht="30" customHeight="1" x14ac:dyDescent="0.3">
      <c r="A43" s="23" t="s">
        <v>712</v>
      </c>
      <c r="B43" s="23" t="s">
        <v>624</v>
      </c>
      <c r="C43" s="23" t="s">
        <v>625</v>
      </c>
      <c r="D43" s="24"/>
      <c r="E43" s="26"/>
      <c r="F43" s="29"/>
      <c r="G43" s="26"/>
      <c r="H43" s="29"/>
      <c r="I43" s="26"/>
      <c r="J43" s="29"/>
      <c r="K43" s="26"/>
      <c r="L43" s="29"/>
      <c r="M43" s="23" t="s">
        <v>713</v>
      </c>
      <c r="N43" s="2" t="s">
        <v>114</v>
      </c>
      <c r="O43" s="2" t="s">
        <v>714</v>
      </c>
      <c r="P43" s="2" t="s">
        <v>61</v>
      </c>
      <c r="Q43" s="2" t="s">
        <v>61</v>
      </c>
      <c r="R43" s="2" t="s">
        <v>60</v>
      </c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2" t="s">
        <v>51</v>
      </c>
      <c r="AW43" s="2" t="s">
        <v>715</v>
      </c>
      <c r="AX43" s="2" t="s">
        <v>51</v>
      </c>
      <c r="AY43" s="2" t="s">
        <v>51</v>
      </c>
      <c r="AZ43" s="2" t="s">
        <v>51</v>
      </c>
    </row>
    <row r="44" spans="1:52" ht="30" customHeight="1" x14ac:dyDescent="0.3">
      <c r="A44" s="23" t="s">
        <v>629</v>
      </c>
      <c r="B44" s="23" t="s">
        <v>624</v>
      </c>
      <c r="C44" s="23" t="s">
        <v>625</v>
      </c>
      <c r="D44" s="24"/>
      <c r="E44" s="26"/>
      <c r="F44" s="29"/>
      <c r="G44" s="26"/>
      <c r="H44" s="29"/>
      <c r="I44" s="26"/>
      <c r="J44" s="29"/>
      <c r="K44" s="26"/>
      <c r="L44" s="29"/>
      <c r="M44" s="23" t="s">
        <v>630</v>
      </c>
      <c r="N44" s="2" t="s">
        <v>114</v>
      </c>
      <c r="O44" s="2" t="s">
        <v>631</v>
      </c>
      <c r="P44" s="2" t="s">
        <v>61</v>
      </c>
      <c r="Q44" s="2" t="s">
        <v>61</v>
      </c>
      <c r="R44" s="2" t="s">
        <v>60</v>
      </c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2" t="s">
        <v>51</v>
      </c>
      <c r="AW44" s="2" t="s">
        <v>716</v>
      </c>
      <c r="AX44" s="2" t="s">
        <v>51</v>
      </c>
      <c r="AY44" s="2" t="s">
        <v>51</v>
      </c>
      <c r="AZ44" s="2" t="s">
        <v>51</v>
      </c>
    </row>
    <row r="45" spans="1:52" ht="30" customHeight="1" x14ac:dyDescent="0.3">
      <c r="A45" s="23" t="s">
        <v>608</v>
      </c>
      <c r="B45" s="23" t="s">
        <v>51</v>
      </c>
      <c r="C45" s="23" t="s">
        <v>51</v>
      </c>
      <c r="D45" s="24"/>
      <c r="E45" s="26"/>
      <c r="F45" s="29"/>
      <c r="G45" s="26"/>
      <c r="H45" s="29"/>
      <c r="I45" s="26"/>
      <c r="J45" s="29"/>
      <c r="K45" s="26"/>
      <c r="L45" s="29"/>
      <c r="M45" s="23" t="s">
        <v>51</v>
      </c>
      <c r="N45" s="2" t="s">
        <v>221</v>
      </c>
      <c r="O45" s="2" t="s">
        <v>221</v>
      </c>
      <c r="P45" s="2" t="s">
        <v>51</v>
      </c>
      <c r="Q45" s="2" t="s">
        <v>51</v>
      </c>
      <c r="R45" s="2" t="s">
        <v>51</v>
      </c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2" t="s">
        <v>51</v>
      </c>
      <c r="AW45" s="2" t="s">
        <v>51</v>
      </c>
      <c r="AX45" s="2" t="s">
        <v>51</v>
      </c>
      <c r="AY45" s="2" t="s">
        <v>51</v>
      </c>
      <c r="AZ45" s="2" t="s">
        <v>51</v>
      </c>
    </row>
    <row r="46" spans="1:52" ht="30" customHeight="1" x14ac:dyDescent="0.3">
      <c r="A46" s="24"/>
      <c r="B46" s="24"/>
      <c r="C46" s="24"/>
      <c r="D46" s="24"/>
      <c r="E46" s="26"/>
      <c r="F46" s="29"/>
      <c r="G46" s="26"/>
      <c r="H46" s="29"/>
      <c r="I46" s="26"/>
      <c r="J46" s="29"/>
      <c r="K46" s="26"/>
      <c r="L46" s="29"/>
      <c r="M46" s="24"/>
    </row>
    <row r="47" spans="1:52" ht="30" customHeight="1" x14ac:dyDescent="0.3">
      <c r="A47" s="20" t="s">
        <v>717</v>
      </c>
      <c r="B47" s="21"/>
      <c r="C47" s="21"/>
      <c r="D47" s="21"/>
      <c r="E47" s="25"/>
      <c r="F47" s="28"/>
      <c r="G47" s="25"/>
      <c r="H47" s="28"/>
      <c r="I47" s="25"/>
      <c r="J47" s="28"/>
      <c r="K47" s="25"/>
      <c r="L47" s="28"/>
      <c r="M47" s="22"/>
      <c r="N47" s="1" t="s">
        <v>119</v>
      </c>
    </row>
    <row r="48" spans="1:52" ht="30" customHeight="1" x14ac:dyDescent="0.3">
      <c r="A48" s="23" t="s">
        <v>598</v>
      </c>
      <c r="B48" s="23" t="s">
        <v>599</v>
      </c>
      <c r="C48" s="23" t="s">
        <v>600</v>
      </c>
      <c r="D48" s="24"/>
      <c r="E48" s="26"/>
      <c r="F48" s="29"/>
      <c r="G48" s="26"/>
      <c r="H48" s="29"/>
      <c r="I48" s="26"/>
      <c r="J48" s="29"/>
      <c r="K48" s="26"/>
      <c r="L48" s="29"/>
      <c r="M48" s="23" t="s">
        <v>601</v>
      </c>
      <c r="N48" s="2" t="s">
        <v>119</v>
      </c>
      <c r="O48" s="2" t="s">
        <v>597</v>
      </c>
      <c r="P48" s="2" t="s">
        <v>60</v>
      </c>
      <c r="Q48" s="2" t="s">
        <v>61</v>
      </c>
      <c r="R48" s="2" t="s">
        <v>61</v>
      </c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2" t="s">
        <v>51</v>
      </c>
      <c r="AW48" s="2" t="s">
        <v>719</v>
      </c>
      <c r="AX48" s="2" t="s">
        <v>51</v>
      </c>
      <c r="AY48" s="2" t="s">
        <v>51</v>
      </c>
      <c r="AZ48" s="2" t="s">
        <v>51</v>
      </c>
    </row>
    <row r="49" spans="1:52" ht="30" customHeight="1" x14ac:dyDescent="0.3">
      <c r="A49" s="23" t="s">
        <v>720</v>
      </c>
      <c r="B49" s="23" t="s">
        <v>624</v>
      </c>
      <c r="C49" s="23" t="s">
        <v>625</v>
      </c>
      <c r="D49" s="24"/>
      <c r="E49" s="26"/>
      <c r="F49" s="29"/>
      <c r="G49" s="26"/>
      <c r="H49" s="29"/>
      <c r="I49" s="26"/>
      <c r="J49" s="29"/>
      <c r="K49" s="26"/>
      <c r="L49" s="29"/>
      <c r="M49" s="23" t="s">
        <v>1893</v>
      </c>
      <c r="N49" s="2" t="s">
        <v>119</v>
      </c>
      <c r="O49" s="2" t="s">
        <v>722</v>
      </c>
      <c r="P49" s="2" t="s">
        <v>61</v>
      </c>
      <c r="Q49" s="2" t="s">
        <v>61</v>
      </c>
      <c r="R49" s="2" t="s">
        <v>60</v>
      </c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2" t="s">
        <v>51</v>
      </c>
      <c r="AW49" s="2" t="s">
        <v>723</v>
      </c>
      <c r="AX49" s="2" t="s">
        <v>51</v>
      </c>
      <c r="AY49" s="2" t="s">
        <v>51</v>
      </c>
      <c r="AZ49" s="2" t="s">
        <v>51</v>
      </c>
    </row>
    <row r="50" spans="1:52" ht="30" customHeight="1" x14ac:dyDescent="0.3">
      <c r="A50" s="23" t="s">
        <v>629</v>
      </c>
      <c r="B50" s="23" t="s">
        <v>624</v>
      </c>
      <c r="C50" s="23" t="s">
        <v>625</v>
      </c>
      <c r="D50" s="24"/>
      <c r="E50" s="26"/>
      <c r="F50" s="29"/>
      <c r="G50" s="26"/>
      <c r="H50" s="29"/>
      <c r="I50" s="26"/>
      <c r="J50" s="29"/>
      <c r="K50" s="26"/>
      <c r="L50" s="29"/>
      <c r="M50" s="23" t="s">
        <v>630</v>
      </c>
      <c r="N50" s="2" t="s">
        <v>119</v>
      </c>
      <c r="O50" s="2" t="s">
        <v>631</v>
      </c>
      <c r="P50" s="2" t="s">
        <v>61</v>
      </c>
      <c r="Q50" s="2" t="s">
        <v>61</v>
      </c>
      <c r="R50" s="2" t="s">
        <v>60</v>
      </c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2" t="s">
        <v>51</v>
      </c>
      <c r="AW50" s="2" t="s">
        <v>724</v>
      </c>
      <c r="AX50" s="2" t="s">
        <v>51</v>
      </c>
      <c r="AY50" s="2" t="s">
        <v>51</v>
      </c>
      <c r="AZ50" s="2" t="s">
        <v>51</v>
      </c>
    </row>
    <row r="51" spans="1:52" ht="30" customHeight="1" x14ac:dyDescent="0.3">
      <c r="A51" s="23" t="s">
        <v>608</v>
      </c>
      <c r="B51" s="23" t="s">
        <v>51</v>
      </c>
      <c r="C51" s="23" t="s">
        <v>51</v>
      </c>
      <c r="D51" s="24"/>
      <c r="E51" s="26"/>
      <c r="F51" s="29"/>
      <c r="G51" s="26"/>
      <c r="H51" s="29"/>
      <c r="I51" s="26"/>
      <c r="J51" s="29"/>
      <c r="K51" s="26"/>
      <c r="L51" s="29"/>
      <c r="M51" s="23" t="s">
        <v>51</v>
      </c>
      <c r="N51" s="2" t="s">
        <v>221</v>
      </c>
      <c r="O51" s="2" t="s">
        <v>221</v>
      </c>
      <c r="P51" s="2" t="s">
        <v>51</v>
      </c>
      <c r="Q51" s="2" t="s">
        <v>51</v>
      </c>
      <c r="R51" s="2" t="s">
        <v>51</v>
      </c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2" t="s">
        <v>51</v>
      </c>
      <c r="AW51" s="2" t="s">
        <v>51</v>
      </c>
      <c r="AX51" s="2" t="s">
        <v>51</v>
      </c>
      <c r="AY51" s="2" t="s">
        <v>51</v>
      </c>
      <c r="AZ51" s="2" t="s">
        <v>51</v>
      </c>
    </row>
    <row r="52" spans="1:52" ht="30" customHeight="1" x14ac:dyDescent="0.3">
      <c r="A52" s="24"/>
      <c r="B52" s="24"/>
      <c r="C52" s="24"/>
      <c r="D52" s="24"/>
      <c r="E52" s="26"/>
      <c r="F52" s="29"/>
      <c r="G52" s="26"/>
      <c r="H52" s="29"/>
      <c r="I52" s="26"/>
      <c r="J52" s="29"/>
      <c r="K52" s="26"/>
      <c r="L52" s="29"/>
      <c r="M52" s="24"/>
    </row>
    <row r="53" spans="1:52" ht="30" customHeight="1" x14ac:dyDescent="0.3">
      <c r="A53" s="20" t="s">
        <v>725</v>
      </c>
      <c r="B53" s="21"/>
      <c r="C53" s="21"/>
      <c r="D53" s="21"/>
      <c r="E53" s="25"/>
      <c r="F53" s="28"/>
      <c r="G53" s="25"/>
      <c r="H53" s="28"/>
      <c r="I53" s="25"/>
      <c r="J53" s="28"/>
      <c r="K53" s="25"/>
      <c r="L53" s="28"/>
      <c r="M53" s="22"/>
      <c r="N53" s="1" t="s">
        <v>76</v>
      </c>
    </row>
    <row r="54" spans="1:52" ht="30" customHeight="1" x14ac:dyDescent="0.3">
      <c r="A54" s="23" t="s">
        <v>727</v>
      </c>
      <c r="B54" s="23" t="s">
        <v>728</v>
      </c>
      <c r="C54" s="23" t="s">
        <v>74</v>
      </c>
      <c r="D54" s="24"/>
      <c r="E54" s="26"/>
      <c r="F54" s="29"/>
      <c r="G54" s="26"/>
      <c r="H54" s="29"/>
      <c r="I54" s="26"/>
      <c r="J54" s="29"/>
      <c r="K54" s="26"/>
      <c r="L54" s="29"/>
      <c r="M54" s="23" t="s">
        <v>729</v>
      </c>
      <c r="N54" s="2" t="s">
        <v>76</v>
      </c>
      <c r="O54" s="2" t="s">
        <v>730</v>
      </c>
      <c r="P54" s="2" t="s">
        <v>61</v>
      </c>
      <c r="Q54" s="2" t="s">
        <v>61</v>
      </c>
      <c r="R54" s="2" t="s">
        <v>60</v>
      </c>
      <c r="S54" s="3"/>
      <c r="T54" s="3"/>
      <c r="U54" s="3"/>
      <c r="V54" s="3">
        <v>1</v>
      </c>
      <c r="W54" s="3">
        <v>2</v>
      </c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2" t="s">
        <v>51</v>
      </c>
      <c r="AW54" s="2" t="s">
        <v>731</v>
      </c>
      <c r="AX54" s="2" t="s">
        <v>51</v>
      </c>
      <c r="AY54" s="2" t="s">
        <v>51</v>
      </c>
      <c r="AZ54" s="2" t="s">
        <v>51</v>
      </c>
    </row>
    <row r="55" spans="1:52" ht="30" customHeight="1" x14ac:dyDescent="0.3">
      <c r="A55" s="23" t="s">
        <v>732</v>
      </c>
      <c r="B55" s="23" t="s">
        <v>733</v>
      </c>
      <c r="C55" s="23" t="s">
        <v>503</v>
      </c>
      <c r="D55" s="24"/>
      <c r="E55" s="26"/>
      <c r="F55" s="29"/>
      <c r="G55" s="26"/>
      <c r="H55" s="29"/>
      <c r="I55" s="26"/>
      <c r="J55" s="29"/>
      <c r="K55" s="26"/>
      <c r="L55" s="29"/>
      <c r="M55" s="23" t="s">
        <v>51</v>
      </c>
      <c r="N55" s="2" t="s">
        <v>76</v>
      </c>
      <c r="O55" s="2" t="s">
        <v>734</v>
      </c>
      <c r="P55" s="2" t="s">
        <v>61</v>
      </c>
      <c r="Q55" s="2" t="s">
        <v>61</v>
      </c>
      <c r="R55" s="2" t="s">
        <v>61</v>
      </c>
      <c r="S55" s="3">
        <v>0</v>
      </c>
      <c r="T55" s="3">
        <v>0</v>
      </c>
      <c r="U55" s="3">
        <v>0.15</v>
      </c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2" t="s">
        <v>51</v>
      </c>
      <c r="AW55" s="2" t="s">
        <v>735</v>
      </c>
      <c r="AX55" s="2" t="s">
        <v>51</v>
      </c>
      <c r="AY55" s="2" t="s">
        <v>51</v>
      </c>
      <c r="AZ55" s="2" t="s">
        <v>51</v>
      </c>
    </row>
    <row r="56" spans="1:52" ht="30" customHeight="1" x14ac:dyDescent="0.3">
      <c r="A56" s="23" t="s">
        <v>736</v>
      </c>
      <c r="B56" s="23" t="s">
        <v>737</v>
      </c>
      <c r="C56" s="23" t="s">
        <v>503</v>
      </c>
      <c r="D56" s="24"/>
      <c r="E56" s="26"/>
      <c r="F56" s="29"/>
      <c r="G56" s="26"/>
      <c r="H56" s="29"/>
      <c r="I56" s="26"/>
      <c r="J56" s="29"/>
      <c r="K56" s="26"/>
      <c r="L56" s="29"/>
      <c r="M56" s="23" t="s">
        <v>51</v>
      </c>
      <c r="N56" s="2" t="s">
        <v>76</v>
      </c>
      <c r="O56" s="2" t="s">
        <v>738</v>
      </c>
      <c r="P56" s="2" t="s">
        <v>61</v>
      </c>
      <c r="Q56" s="2" t="s">
        <v>61</v>
      </c>
      <c r="R56" s="2" t="s">
        <v>61</v>
      </c>
      <c r="S56" s="3">
        <v>0</v>
      </c>
      <c r="T56" s="3">
        <v>0</v>
      </c>
      <c r="U56" s="3">
        <v>0.02</v>
      </c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2" t="s">
        <v>51</v>
      </c>
      <c r="AW56" s="2" t="s">
        <v>739</v>
      </c>
      <c r="AX56" s="2" t="s">
        <v>51</v>
      </c>
      <c r="AY56" s="2" t="s">
        <v>51</v>
      </c>
      <c r="AZ56" s="2" t="s">
        <v>51</v>
      </c>
    </row>
    <row r="57" spans="1:52" ht="30" customHeight="1" x14ac:dyDescent="0.3">
      <c r="A57" s="23" t="s">
        <v>740</v>
      </c>
      <c r="B57" s="23" t="s">
        <v>624</v>
      </c>
      <c r="C57" s="23" t="s">
        <v>625</v>
      </c>
      <c r="D57" s="24"/>
      <c r="E57" s="26"/>
      <c r="F57" s="29"/>
      <c r="G57" s="26"/>
      <c r="H57" s="29"/>
      <c r="I57" s="26"/>
      <c r="J57" s="29"/>
      <c r="K57" s="26"/>
      <c r="L57" s="29"/>
      <c r="M57" s="23" t="s">
        <v>1894</v>
      </c>
      <c r="N57" s="2" t="s">
        <v>76</v>
      </c>
      <c r="O57" s="2" t="s">
        <v>742</v>
      </c>
      <c r="P57" s="2" t="s">
        <v>61</v>
      </c>
      <c r="Q57" s="2" t="s">
        <v>61</v>
      </c>
      <c r="R57" s="2" t="s">
        <v>60</v>
      </c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2" t="s">
        <v>51</v>
      </c>
      <c r="AW57" s="2" t="s">
        <v>743</v>
      </c>
      <c r="AX57" s="2" t="s">
        <v>51</v>
      </c>
      <c r="AY57" s="2" t="s">
        <v>51</v>
      </c>
      <c r="AZ57" s="2" t="s">
        <v>51</v>
      </c>
    </row>
    <row r="58" spans="1:52" ht="30" customHeight="1" x14ac:dyDescent="0.3">
      <c r="A58" s="23" t="s">
        <v>608</v>
      </c>
      <c r="B58" s="23" t="s">
        <v>51</v>
      </c>
      <c r="C58" s="23" t="s">
        <v>51</v>
      </c>
      <c r="D58" s="24"/>
      <c r="E58" s="26"/>
      <c r="F58" s="29"/>
      <c r="G58" s="26"/>
      <c r="H58" s="29"/>
      <c r="I58" s="26"/>
      <c r="J58" s="29"/>
      <c r="K58" s="26"/>
      <c r="L58" s="29"/>
      <c r="M58" s="23" t="s">
        <v>51</v>
      </c>
      <c r="N58" s="2" t="s">
        <v>221</v>
      </c>
      <c r="O58" s="2" t="s">
        <v>221</v>
      </c>
      <c r="P58" s="2" t="s">
        <v>51</v>
      </c>
      <c r="Q58" s="2" t="s">
        <v>51</v>
      </c>
      <c r="R58" s="2" t="s">
        <v>51</v>
      </c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2" t="s">
        <v>51</v>
      </c>
      <c r="AW58" s="2" t="s">
        <v>51</v>
      </c>
      <c r="AX58" s="2" t="s">
        <v>51</v>
      </c>
      <c r="AY58" s="2" t="s">
        <v>51</v>
      </c>
      <c r="AZ58" s="2" t="s">
        <v>51</v>
      </c>
    </row>
    <row r="59" spans="1:52" ht="30" customHeight="1" x14ac:dyDescent="0.3">
      <c r="A59" s="24"/>
      <c r="B59" s="24"/>
      <c r="C59" s="24"/>
      <c r="D59" s="24"/>
      <c r="E59" s="26"/>
      <c r="F59" s="29"/>
      <c r="G59" s="26"/>
      <c r="H59" s="29"/>
      <c r="I59" s="26"/>
      <c r="J59" s="29"/>
      <c r="K59" s="26"/>
      <c r="L59" s="29"/>
      <c r="M59" s="24"/>
    </row>
    <row r="60" spans="1:52" ht="30" customHeight="1" x14ac:dyDescent="0.3">
      <c r="A60" s="20" t="s">
        <v>744</v>
      </c>
      <c r="B60" s="21"/>
      <c r="C60" s="21"/>
      <c r="D60" s="21"/>
      <c r="E60" s="25"/>
      <c r="F60" s="28"/>
      <c r="G60" s="25"/>
      <c r="H60" s="28"/>
      <c r="I60" s="25"/>
      <c r="J60" s="28"/>
      <c r="K60" s="25"/>
      <c r="L60" s="28"/>
      <c r="M60" s="22"/>
      <c r="N60" s="1" t="s">
        <v>80</v>
      </c>
    </row>
    <row r="61" spans="1:52" ht="30" customHeight="1" x14ac:dyDescent="0.3">
      <c r="A61" s="23" t="s">
        <v>727</v>
      </c>
      <c r="B61" s="23" t="s">
        <v>745</v>
      </c>
      <c r="C61" s="23" t="s">
        <v>74</v>
      </c>
      <c r="D61" s="24"/>
      <c r="E61" s="26"/>
      <c r="F61" s="29"/>
      <c r="G61" s="26"/>
      <c r="H61" s="29"/>
      <c r="I61" s="26"/>
      <c r="J61" s="29"/>
      <c r="K61" s="26"/>
      <c r="L61" s="29"/>
      <c r="M61" s="23" t="s">
        <v>746</v>
      </c>
      <c r="N61" s="2" t="s">
        <v>80</v>
      </c>
      <c r="O61" s="2" t="s">
        <v>747</v>
      </c>
      <c r="P61" s="2" t="s">
        <v>61</v>
      </c>
      <c r="Q61" s="2" t="s">
        <v>61</v>
      </c>
      <c r="R61" s="2" t="s">
        <v>60</v>
      </c>
      <c r="S61" s="3"/>
      <c r="T61" s="3"/>
      <c r="U61" s="3"/>
      <c r="V61" s="3">
        <v>1</v>
      </c>
      <c r="W61" s="3">
        <v>2</v>
      </c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2" t="s">
        <v>51</v>
      </c>
      <c r="AW61" s="2" t="s">
        <v>748</v>
      </c>
      <c r="AX61" s="2" t="s">
        <v>51</v>
      </c>
      <c r="AY61" s="2" t="s">
        <v>51</v>
      </c>
      <c r="AZ61" s="2" t="s">
        <v>51</v>
      </c>
    </row>
    <row r="62" spans="1:52" ht="30" customHeight="1" x14ac:dyDescent="0.3">
      <c r="A62" s="23" t="s">
        <v>732</v>
      </c>
      <c r="B62" s="23" t="s">
        <v>733</v>
      </c>
      <c r="C62" s="23" t="s">
        <v>503</v>
      </c>
      <c r="D62" s="24"/>
      <c r="E62" s="26"/>
      <c r="F62" s="29"/>
      <c r="G62" s="26"/>
      <c r="H62" s="29"/>
      <c r="I62" s="26"/>
      <c r="J62" s="29"/>
      <c r="K62" s="26"/>
      <c r="L62" s="29"/>
      <c r="M62" s="23" t="s">
        <v>51</v>
      </c>
      <c r="N62" s="2" t="s">
        <v>80</v>
      </c>
      <c r="O62" s="2" t="s">
        <v>734</v>
      </c>
      <c r="P62" s="2" t="s">
        <v>61</v>
      </c>
      <c r="Q62" s="2" t="s">
        <v>61</v>
      </c>
      <c r="R62" s="2" t="s">
        <v>61</v>
      </c>
      <c r="S62" s="3">
        <v>0</v>
      </c>
      <c r="T62" s="3">
        <v>0</v>
      </c>
      <c r="U62" s="3">
        <v>0.15</v>
      </c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2" t="s">
        <v>51</v>
      </c>
      <c r="AW62" s="2" t="s">
        <v>749</v>
      </c>
      <c r="AX62" s="2" t="s">
        <v>51</v>
      </c>
      <c r="AY62" s="2" t="s">
        <v>51</v>
      </c>
      <c r="AZ62" s="2" t="s">
        <v>51</v>
      </c>
    </row>
    <row r="63" spans="1:52" ht="30" customHeight="1" x14ac:dyDescent="0.3">
      <c r="A63" s="23" t="s">
        <v>736</v>
      </c>
      <c r="B63" s="23" t="s">
        <v>737</v>
      </c>
      <c r="C63" s="23" t="s">
        <v>503</v>
      </c>
      <c r="D63" s="24"/>
      <c r="E63" s="26"/>
      <c r="F63" s="29"/>
      <c r="G63" s="26"/>
      <c r="H63" s="29"/>
      <c r="I63" s="26"/>
      <c r="J63" s="29"/>
      <c r="K63" s="26"/>
      <c r="L63" s="29"/>
      <c r="M63" s="23" t="s">
        <v>51</v>
      </c>
      <c r="N63" s="2" t="s">
        <v>80</v>
      </c>
      <c r="O63" s="2" t="s">
        <v>738</v>
      </c>
      <c r="P63" s="2" t="s">
        <v>61</v>
      </c>
      <c r="Q63" s="2" t="s">
        <v>61</v>
      </c>
      <c r="R63" s="2" t="s">
        <v>61</v>
      </c>
      <c r="S63" s="3">
        <v>0</v>
      </c>
      <c r="T63" s="3">
        <v>0</v>
      </c>
      <c r="U63" s="3">
        <v>0.02</v>
      </c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2" t="s">
        <v>51</v>
      </c>
      <c r="AW63" s="2" t="s">
        <v>750</v>
      </c>
      <c r="AX63" s="2" t="s">
        <v>51</v>
      </c>
      <c r="AY63" s="2" t="s">
        <v>51</v>
      </c>
      <c r="AZ63" s="2" t="s">
        <v>51</v>
      </c>
    </row>
    <row r="64" spans="1:52" ht="30" customHeight="1" x14ac:dyDescent="0.3">
      <c r="A64" s="23" t="s">
        <v>740</v>
      </c>
      <c r="B64" s="23" t="s">
        <v>624</v>
      </c>
      <c r="C64" s="23" t="s">
        <v>625</v>
      </c>
      <c r="D64" s="24"/>
      <c r="E64" s="26"/>
      <c r="F64" s="29"/>
      <c r="G64" s="26"/>
      <c r="H64" s="29"/>
      <c r="I64" s="26"/>
      <c r="J64" s="29"/>
      <c r="K64" s="26"/>
      <c r="L64" s="29"/>
      <c r="M64" s="23" t="s">
        <v>1894</v>
      </c>
      <c r="N64" s="2" t="s">
        <v>80</v>
      </c>
      <c r="O64" s="2" t="s">
        <v>742</v>
      </c>
      <c r="P64" s="2" t="s">
        <v>61</v>
      </c>
      <c r="Q64" s="2" t="s">
        <v>61</v>
      </c>
      <c r="R64" s="2" t="s">
        <v>60</v>
      </c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2" t="s">
        <v>51</v>
      </c>
      <c r="AW64" s="2" t="s">
        <v>751</v>
      </c>
      <c r="AX64" s="2" t="s">
        <v>51</v>
      </c>
      <c r="AY64" s="2" t="s">
        <v>51</v>
      </c>
      <c r="AZ64" s="2" t="s">
        <v>51</v>
      </c>
    </row>
    <row r="65" spans="1:52" ht="30" customHeight="1" x14ac:dyDescent="0.3">
      <c r="A65" s="23" t="s">
        <v>608</v>
      </c>
      <c r="B65" s="23" t="s">
        <v>51</v>
      </c>
      <c r="C65" s="23" t="s">
        <v>51</v>
      </c>
      <c r="D65" s="24"/>
      <c r="E65" s="26"/>
      <c r="F65" s="29"/>
      <c r="G65" s="26"/>
      <c r="H65" s="29"/>
      <c r="I65" s="26"/>
      <c r="J65" s="29"/>
      <c r="K65" s="26"/>
      <c r="L65" s="29"/>
      <c r="M65" s="23" t="s">
        <v>51</v>
      </c>
      <c r="N65" s="2" t="s">
        <v>221</v>
      </c>
      <c r="O65" s="2" t="s">
        <v>221</v>
      </c>
      <c r="P65" s="2" t="s">
        <v>51</v>
      </c>
      <c r="Q65" s="2" t="s">
        <v>51</v>
      </c>
      <c r="R65" s="2" t="s">
        <v>51</v>
      </c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2" t="s">
        <v>51</v>
      </c>
      <c r="AW65" s="2" t="s">
        <v>51</v>
      </c>
      <c r="AX65" s="2" t="s">
        <v>51</v>
      </c>
      <c r="AY65" s="2" t="s">
        <v>51</v>
      </c>
      <c r="AZ65" s="2" t="s">
        <v>51</v>
      </c>
    </row>
    <row r="66" spans="1:52" ht="30" customHeight="1" x14ac:dyDescent="0.3">
      <c r="A66" s="24"/>
      <c r="B66" s="24"/>
      <c r="C66" s="24"/>
      <c r="D66" s="24"/>
      <c r="E66" s="26"/>
      <c r="F66" s="29"/>
      <c r="G66" s="26"/>
      <c r="H66" s="29"/>
      <c r="I66" s="26"/>
      <c r="J66" s="29"/>
      <c r="K66" s="26"/>
      <c r="L66" s="29"/>
      <c r="M66" s="24"/>
    </row>
    <row r="67" spans="1:52" ht="30" customHeight="1" x14ac:dyDescent="0.3">
      <c r="A67" s="20" t="s">
        <v>752</v>
      </c>
      <c r="B67" s="21"/>
      <c r="C67" s="21"/>
      <c r="D67" s="21"/>
      <c r="E67" s="25"/>
      <c r="F67" s="28"/>
      <c r="G67" s="25"/>
      <c r="H67" s="28"/>
      <c r="I67" s="25"/>
      <c r="J67" s="28"/>
      <c r="K67" s="25"/>
      <c r="L67" s="28"/>
      <c r="M67" s="22"/>
      <c r="N67" s="1" t="s">
        <v>84</v>
      </c>
    </row>
    <row r="68" spans="1:52" ht="30" customHeight="1" x14ac:dyDescent="0.3">
      <c r="A68" s="23" t="s">
        <v>727</v>
      </c>
      <c r="B68" s="23" t="s">
        <v>753</v>
      </c>
      <c r="C68" s="23" t="s">
        <v>74</v>
      </c>
      <c r="D68" s="24"/>
      <c r="E68" s="26"/>
      <c r="F68" s="29"/>
      <c r="G68" s="26"/>
      <c r="H68" s="29"/>
      <c r="I68" s="26"/>
      <c r="J68" s="29"/>
      <c r="K68" s="26"/>
      <c r="L68" s="29"/>
      <c r="M68" s="23" t="s">
        <v>754</v>
      </c>
      <c r="N68" s="2" t="s">
        <v>84</v>
      </c>
      <c r="O68" s="2" t="s">
        <v>755</v>
      </c>
      <c r="P68" s="2" t="s">
        <v>61</v>
      </c>
      <c r="Q68" s="2" t="s">
        <v>61</v>
      </c>
      <c r="R68" s="2" t="s">
        <v>60</v>
      </c>
      <c r="S68" s="3"/>
      <c r="T68" s="3"/>
      <c r="U68" s="3"/>
      <c r="V68" s="3">
        <v>1</v>
      </c>
      <c r="W68" s="3">
        <v>2</v>
      </c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2" t="s">
        <v>51</v>
      </c>
      <c r="AW68" s="2" t="s">
        <v>756</v>
      </c>
      <c r="AX68" s="2" t="s">
        <v>51</v>
      </c>
      <c r="AY68" s="2" t="s">
        <v>51</v>
      </c>
      <c r="AZ68" s="2" t="s">
        <v>51</v>
      </c>
    </row>
    <row r="69" spans="1:52" ht="30" customHeight="1" x14ac:dyDescent="0.3">
      <c r="A69" s="23" t="s">
        <v>732</v>
      </c>
      <c r="B69" s="23" t="s">
        <v>733</v>
      </c>
      <c r="C69" s="23" t="s">
        <v>503</v>
      </c>
      <c r="D69" s="24"/>
      <c r="E69" s="26"/>
      <c r="F69" s="29"/>
      <c r="G69" s="26"/>
      <c r="H69" s="29"/>
      <c r="I69" s="26"/>
      <c r="J69" s="29"/>
      <c r="K69" s="26"/>
      <c r="L69" s="29"/>
      <c r="M69" s="23" t="s">
        <v>51</v>
      </c>
      <c r="N69" s="2" t="s">
        <v>84</v>
      </c>
      <c r="O69" s="2" t="s">
        <v>734</v>
      </c>
      <c r="P69" s="2" t="s">
        <v>61</v>
      </c>
      <c r="Q69" s="2" t="s">
        <v>61</v>
      </c>
      <c r="R69" s="2" t="s">
        <v>61</v>
      </c>
      <c r="S69" s="3">
        <v>0</v>
      </c>
      <c r="T69" s="3">
        <v>0</v>
      </c>
      <c r="U69" s="3">
        <v>0.15</v>
      </c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2" t="s">
        <v>51</v>
      </c>
      <c r="AW69" s="2" t="s">
        <v>757</v>
      </c>
      <c r="AX69" s="2" t="s">
        <v>51</v>
      </c>
      <c r="AY69" s="2" t="s">
        <v>51</v>
      </c>
      <c r="AZ69" s="2" t="s">
        <v>51</v>
      </c>
    </row>
    <row r="70" spans="1:52" ht="30" customHeight="1" x14ac:dyDescent="0.3">
      <c r="A70" s="23" t="s">
        <v>736</v>
      </c>
      <c r="B70" s="23" t="s">
        <v>737</v>
      </c>
      <c r="C70" s="23" t="s">
        <v>503</v>
      </c>
      <c r="D70" s="24"/>
      <c r="E70" s="26"/>
      <c r="F70" s="29"/>
      <c r="G70" s="26"/>
      <c r="H70" s="29"/>
      <c r="I70" s="26"/>
      <c r="J70" s="29"/>
      <c r="K70" s="26"/>
      <c r="L70" s="29"/>
      <c r="M70" s="23" t="s">
        <v>51</v>
      </c>
      <c r="N70" s="2" t="s">
        <v>84</v>
      </c>
      <c r="O70" s="2" t="s">
        <v>738</v>
      </c>
      <c r="P70" s="2" t="s">
        <v>61</v>
      </c>
      <c r="Q70" s="2" t="s">
        <v>61</v>
      </c>
      <c r="R70" s="2" t="s">
        <v>61</v>
      </c>
      <c r="S70" s="3">
        <v>0</v>
      </c>
      <c r="T70" s="3">
        <v>0</v>
      </c>
      <c r="U70" s="3">
        <v>0.02</v>
      </c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2" t="s">
        <v>51</v>
      </c>
      <c r="AW70" s="2" t="s">
        <v>758</v>
      </c>
      <c r="AX70" s="2" t="s">
        <v>51</v>
      </c>
      <c r="AY70" s="2" t="s">
        <v>51</v>
      </c>
      <c r="AZ70" s="2" t="s">
        <v>51</v>
      </c>
    </row>
    <row r="71" spans="1:52" ht="30" customHeight="1" x14ac:dyDescent="0.3">
      <c r="A71" s="23" t="s">
        <v>740</v>
      </c>
      <c r="B71" s="23" t="s">
        <v>624</v>
      </c>
      <c r="C71" s="23" t="s">
        <v>625</v>
      </c>
      <c r="D71" s="24"/>
      <c r="E71" s="26"/>
      <c r="F71" s="29"/>
      <c r="G71" s="26"/>
      <c r="H71" s="29"/>
      <c r="I71" s="26"/>
      <c r="J71" s="29"/>
      <c r="K71" s="26"/>
      <c r="L71" s="29"/>
      <c r="M71" s="23" t="s">
        <v>1894</v>
      </c>
      <c r="N71" s="2" t="s">
        <v>84</v>
      </c>
      <c r="O71" s="2" t="s">
        <v>742</v>
      </c>
      <c r="P71" s="2" t="s">
        <v>61</v>
      </c>
      <c r="Q71" s="2" t="s">
        <v>61</v>
      </c>
      <c r="R71" s="2" t="s">
        <v>60</v>
      </c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2" t="s">
        <v>51</v>
      </c>
      <c r="AW71" s="2" t="s">
        <v>759</v>
      </c>
      <c r="AX71" s="2" t="s">
        <v>51</v>
      </c>
      <c r="AY71" s="2" t="s">
        <v>51</v>
      </c>
      <c r="AZ71" s="2" t="s">
        <v>51</v>
      </c>
    </row>
    <row r="72" spans="1:52" ht="30" customHeight="1" x14ac:dyDescent="0.3">
      <c r="A72" s="23" t="s">
        <v>608</v>
      </c>
      <c r="B72" s="23" t="s">
        <v>51</v>
      </c>
      <c r="C72" s="23" t="s">
        <v>51</v>
      </c>
      <c r="D72" s="24"/>
      <c r="E72" s="26"/>
      <c r="F72" s="29"/>
      <c r="G72" s="26"/>
      <c r="H72" s="29"/>
      <c r="I72" s="26"/>
      <c r="J72" s="29"/>
      <c r="K72" s="26"/>
      <c r="L72" s="29"/>
      <c r="M72" s="23" t="s">
        <v>51</v>
      </c>
      <c r="N72" s="2" t="s">
        <v>221</v>
      </c>
      <c r="O72" s="2" t="s">
        <v>221</v>
      </c>
      <c r="P72" s="2" t="s">
        <v>51</v>
      </c>
      <c r="Q72" s="2" t="s">
        <v>51</v>
      </c>
      <c r="R72" s="2" t="s">
        <v>51</v>
      </c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2" t="s">
        <v>51</v>
      </c>
      <c r="AW72" s="2" t="s">
        <v>51</v>
      </c>
      <c r="AX72" s="2" t="s">
        <v>51</v>
      </c>
      <c r="AY72" s="2" t="s">
        <v>51</v>
      </c>
      <c r="AZ72" s="2" t="s">
        <v>51</v>
      </c>
    </row>
    <row r="73" spans="1:52" ht="30" customHeight="1" x14ac:dyDescent="0.3">
      <c r="A73" s="24"/>
      <c r="B73" s="24"/>
      <c r="C73" s="24"/>
      <c r="D73" s="24"/>
      <c r="E73" s="26"/>
      <c r="F73" s="29"/>
      <c r="G73" s="26"/>
      <c r="H73" s="29"/>
      <c r="I73" s="26"/>
      <c r="J73" s="29"/>
      <c r="K73" s="26"/>
      <c r="L73" s="29"/>
      <c r="M73" s="24"/>
    </row>
    <row r="74" spans="1:52" ht="30" customHeight="1" x14ac:dyDescent="0.3">
      <c r="A74" s="20" t="s">
        <v>760</v>
      </c>
      <c r="B74" s="21"/>
      <c r="C74" s="21"/>
      <c r="D74" s="21"/>
      <c r="E74" s="25"/>
      <c r="F74" s="28"/>
      <c r="G74" s="25"/>
      <c r="H74" s="28"/>
      <c r="I74" s="25"/>
      <c r="J74" s="28"/>
      <c r="K74" s="25"/>
      <c r="L74" s="28"/>
      <c r="M74" s="22"/>
      <c r="N74" s="1" t="s">
        <v>89</v>
      </c>
    </row>
    <row r="75" spans="1:52" ht="30" customHeight="1" x14ac:dyDescent="0.3">
      <c r="A75" s="23" t="s">
        <v>86</v>
      </c>
      <c r="B75" s="23" t="s">
        <v>761</v>
      </c>
      <c r="C75" s="23" t="s">
        <v>74</v>
      </c>
      <c r="D75" s="24"/>
      <c r="E75" s="26"/>
      <c r="F75" s="29"/>
      <c r="G75" s="26"/>
      <c r="H75" s="29"/>
      <c r="I75" s="26"/>
      <c r="J75" s="29"/>
      <c r="K75" s="26"/>
      <c r="L75" s="29"/>
      <c r="M75" s="23" t="s">
        <v>762</v>
      </c>
      <c r="N75" s="2" t="s">
        <v>89</v>
      </c>
      <c r="O75" s="2" t="s">
        <v>763</v>
      </c>
      <c r="P75" s="2" t="s">
        <v>61</v>
      </c>
      <c r="Q75" s="2" t="s">
        <v>61</v>
      </c>
      <c r="R75" s="2" t="s">
        <v>60</v>
      </c>
      <c r="S75" s="3"/>
      <c r="T75" s="3"/>
      <c r="U75" s="3"/>
      <c r="V75" s="3">
        <v>1</v>
      </c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2" t="s">
        <v>51</v>
      </c>
      <c r="AW75" s="2" t="s">
        <v>764</v>
      </c>
      <c r="AX75" s="2" t="s">
        <v>51</v>
      </c>
      <c r="AY75" s="2" t="s">
        <v>51</v>
      </c>
      <c r="AZ75" s="2" t="s">
        <v>51</v>
      </c>
    </row>
    <row r="76" spans="1:52" ht="30" customHeight="1" x14ac:dyDescent="0.3">
      <c r="A76" s="23" t="s">
        <v>736</v>
      </c>
      <c r="B76" s="23" t="s">
        <v>737</v>
      </c>
      <c r="C76" s="23" t="s">
        <v>503</v>
      </c>
      <c r="D76" s="24"/>
      <c r="E76" s="26"/>
      <c r="F76" s="29"/>
      <c r="G76" s="26"/>
      <c r="H76" s="29"/>
      <c r="I76" s="26"/>
      <c r="J76" s="29"/>
      <c r="K76" s="26"/>
      <c r="L76" s="29"/>
      <c r="M76" s="23" t="s">
        <v>51</v>
      </c>
      <c r="N76" s="2" t="s">
        <v>89</v>
      </c>
      <c r="O76" s="2" t="s">
        <v>734</v>
      </c>
      <c r="P76" s="2" t="s">
        <v>61</v>
      </c>
      <c r="Q76" s="2" t="s">
        <v>61</v>
      </c>
      <c r="R76" s="2" t="s">
        <v>61</v>
      </c>
      <c r="S76" s="3">
        <v>0</v>
      </c>
      <c r="T76" s="3">
        <v>0</v>
      </c>
      <c r="U76" s="3">
        <v>0.02</v>
      </c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2" t="s">
        <v>51</v>
      </c>
      <c r="AW76" s="2" t="s">
        <v>765</v>
      </c>
      <c r="AX76" s="2" t="s">
        <v>51</v>
      </c>
      <c r="AY76" s="2" t="s">
        <v>51</v>
      </c>
      <c r="AZ76" s="2" t="s">
        <v>51</v>
      </c>
    </row>
    <row r="77" spans="1:52" ht="30" customHeight="1" x14ac:dyDescent="0.3">
      <c r="A77" s="23" t="s">
        <v>740</v>
      </c>
      <c r="B77" s="23" t="s">
        <v>624</v>
      </c>
      <c r="C77" s="23" t="s">
        <v>625</v>
      </c>
      <c r="D77" s="24"/>
      <c r="E77" s="26"/>
      <c r="F77" s="29"/>
      <c r="G77" s="26"/>
      <c r="H77" s="29"/>
      <c r="I77" s="26"/>
      <c r="J77" s="29"/>
      <c r="K77" s="26"/>
      <c r="L77" s="29"/>
      <c r="M77" s="23" t="s">
        <v>1894</v>
      </c>
      <c r="N77" s="2" t="s">
        <v>89</v>
      </c>
      <c r="O77" s="2" t="s">
        <v>742</v>
      </c>
      <c r="P77" s="2" t="s">
        <v>61</v>
      </c>
      <c r="Q77" s="2" t="s">
        <v>61</v>
      </c>
      <c r="R77" s="2" t="s">
        <v>60</v>
      </c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2" t="s">
        <v>51</v>
      </c>
      <c r="AW77" s="2" t="s">
        <v>766</v>
      </c>
      <c r="AX77" s="2" t="s">
        <v>51</v>
      </c>
      <c r="AY77" s="2" t="s">
        <v>51</v>
      </c>
      <c r="AZ77" s="2" t="s">
        <v>51</v>
      </c>
    </row>
    <row r="78" spans="1:52" ht="30" customHeight="1" x14ac:dyDescent="0.3">
      <c r="A78" s="23" t="s">
        <v>608</v>
      </c>
      <c r="B78" s="23" t="s">
        <v>51</v>
      </c>
      <c r="C78" s="23" t="s">
        <v>51</v>
      </c>
      <c r="D78" s="24"/>
      <c r="E78" s="26"/>
      <c r="F78" s="29"/>
      <c r="G78" s="26"/>
      <c r="H78" s="29"/>
      <c r="I78" s="26"/>
      <c r="J78" s="29"/>
      <c r="K78" s="26"/>
      <c r="L78" s="29"/>
      <c r="M78" s="23" t="s">
        <v>51</v>
      </c>
      <c r="N78" s="2" t="s">
        <v>221</v>
      </c>
      <c r="O78" s="2" t="s">
        <v>221</v>
      </c>
      <c r="P78" s="2" t="s">
        <v>51</v>
      </c>
      <c r="Q78" s="2" t="s">
        <v>51</v>
      </c>
      <c r="R78" s="2" t="s">
        <v>51</v>
      </c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2" t="s">
        <v>51</v>
      </c>
      <c r="AW78" s="2" t="s">
        <v>51</v>
      </c>
      <c r="AX78" s="2" t="s">
        <v>51</v>
      </c>
      <c r="AY78" s="2" t="s">
        <v>51</v>
      </c>
      <c r="AZ78" s="2" t="s">
        <v>51</v>
      </c>
    </row>
    <row r="79" spans="1:52" ht="30" customHeight="1" x14ac:dyDescent="0.3">
      <c r="A79" s="24"/>
      <c r="B79" s="24"/>
      <c r="C79" s="24"/>
      <c r="D79" s="24"/>
      <c r="E79" s="26"/>
      <c r="F79" s="29"/>
      <c r="G79" s="26"/>
      <c r="H79" s="29"/>
      <c r="I79" s="26"/>
      <c r="J79" s="29"/>
      <c r="K79" s="26"/>
      <c r="L79" s="29"/>
      <c r="M79" s="24"/>
    </row>
    <row r="80" spans="1:52" ht="30" customHeight="1" x14ac:dyDescent="0.3">
      <c r="A80" s="88" t="s">
        <v>1855</v>
      </c>
      <c r="B80" s="21"/>
      <c r="C80" s="21"/>
      <c r="D80" s="21"/>
      <c r="E80" s="25"/>
      <c r="F80" s="28"/>
      <c r="G80" s="25"/>
      <c r="H80" s="28"/>
      <c r="I80" s="25"/>
      <c r="J80" s="28"/>
      <c r="K80" s="25"/>
      <c r="L80" s="28"/>
      <c r="M80" s="22"/>
      <c r="N80" s="1" t="s">
        <v>95</v>
      </c>
    </row>
    <row r="81" spans="1:52" ht="30" customHeight="1" x14ac:dyDescent="0.3">
      <c r="A81" s="23" t="s">
        <v>1854</v>
      </c>
      <c r="B81" s="23" t="s">
        <v>774</v>
      </c>
      <c r="C81" s="23" t="s">
        <v>132</v>
      </c>
      <c r="D81" s="24"/>
      <c r="E81" s="26"/>
      <c r="F81" s="29"/>
      <c r="G81" s="26"/>
      <c r="H81" s="29"/>
      <c r="I81" s="26"/>
      <c r="J81" s="29"/>
      <c r="K81" s="26"/>
      <c r="L81" s="29"/>
      <c r="M81" s="23" t="s">
        <v>775</v>
      </c>
      <c r="N81" s="2" t="s">
        <v>95</v>
      </c>
      <c r="O81" s="2" t="s">
        <v>776</v>
      </c>
      <c r="P81" s="2" t="s">
        <v>61</v>
      </c>
      <c r="Q81" s="2" t="s">
        <v>61</v>
      </c>
      <c r="R81" s="2" t="s">
        <v>60</v>
      </c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2" t="s">
        <v>51</v>
      </c>
      <c r="AW81" s="2" t="s">
        <v>777</v>
      </c>
      <c r="AX81" s="2" t="s">
        <v>51</v>
      </c>
      <c r="AY81" s="2" t="s">
        <v>51</v>
      </c>
      <c r="AZ81" s="2" t="s">
        <v>51</v>
      </c>
    </row>
    <row r="82" spans="1:52" ht="30" customHeight="1" x14ac:dyDescent="0.3">
      <c r="A82" s="23"/>
      <c r="B82" s="23"/>
      <c r="C82" s="23"/>
      <c r="D82" s="24"/>
      <c r="E82" s="26"/>
      <c r="F82" s="29"/>
      <c r="G82" s="26"/>
      <c r="H82" s="29"/>
      <c r="I82" s="26"/>
      <c r="J82" s="29"/>
      <c r="K82" s="26"/>
      <c r="L82" s="29"/>
      <c r="M82" s="23"/>
      <c r="N82" s="2" t="s">
        <v>95</v>
      </c>
      <c r="O82" s="2" t="s">
        <v>742</v>
      </c>
      <c r="P82" s="2" t="s">
        <v>61</v>
      </c>
      <c r="Q82" s="2" t="s">
        <v>61</v>
      </c>
      <c r="R82" s="2" t="s">
        <v>60</v>
      </c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2" t="s">
        <v>51</v>
      </c>
      <c r="AW82" s="2" t="s">
        <v>778</v>
      </c>
      <c r="AX82" s="2" t="s">
        <v>51</v>
      </c>
      <c r="AY82" s="2" t="s">
        <v>51</v>
      </c>
      <c r="AZ82" s="2" t="s">
        <v>51</v>
      </c>
    </row>
    <row r="83" spans="1:52" ht="30" customHeight="1" x14ac:dyDescent="0.3">
      <c r="A83" s="23" t="s">
        <v>608</v>
      </c>
      <c r="B83" s="23" t="s">
        <v>51</v>
      </c>
      <c r="C83" s="23" t="s">
        <v>51</v>
      </c>
      <c r="D83" s="24"/>
      <c r="E83" s="26"/>
      <c r="F83" s="29"/>
      <c r="G83" s="26"/>
      <c r="H83" s="29"/>
      <c r="I83" s="26"/>
      <c r="J83" s="29"/>
      <c r="K83" s="26"/>
      <c r="L83" s="29"/>
      <c r="M83" s="23" t="s">
        <v>51</v>
      </c>
      <c r="N83" s="2" t="s">
        <v>221</v>
      </c>
      <c r="O83" s="2" t="s">
        <v>221</v>
      </c>
      <c r="P83" s="2" t="s">
        <v>51</v>
      </c>
      <c r="Q83" s="2" t="s">
        <v>51</v>
      </c>
      <c r="R83" s="2" t="s">
        <v>51</v>
      </c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2" t="s">
        <v>51</v>
      </c>
      <c r="AW83" s="2" t="s">
        <v>51</v>
      </c>
      <c r="AX83" s="2" t="s">
        <v>51</v>
      </c>
      <c r="AY83" s="2" t="s">
        <v>51</v>
      </c>
      <c r="AZ83" s="2" t="s">
        <v>51</v>
      </c>
    </row>
    <row r="84" spans="1:52" ht="30" customHeight="1" x14ac:dyDescent="0.3">
      <c r="A84" s="24"/>
      <c r="B84" s="24"/>
      <c r="C84" s="24"/>
      <c r="D84" s="24"/>
      <c r="E84" s="26"/>
      <c r="F84" s="29"/>
      <c r="G84" s="26"/>
      <c r="H84" s="29"/>
      <c r="I84" s="26"/>
      <c r="J84" s="29"/>
      <c r="K84" s="26"/>
      <c r="L84" s="29"/>
      <c r="M84" s="24"/>
    </row>
    <row r="85" spans="1:52" ht="30" customHeight="1" x14ac:dyDescent="0.3">
      <c r="A85" s="88" t="s">
        <v>1856</v>
      </c>
      <c r="B85" s="21"/>
      <c r="C85" s="21"/>
      <c r="D85" s="21"/>
      <c r="E85" s="25"/>
      <c r="F85" s="28"/>
      <c r="G85" s="25"/>
      <c r="H85" s="28"/>
      <c r="I85" s="25"/>
      <c r="J85" s="28"/>
      <c r="K85" s="25"/>
      <c r="L85" s="28"/>
      <c r="M85" s="22"/>
      <c r="N85" s="1" t="s">
        <v>99</v>
      </c>
    </row>
    <row r="86" spans="1:52" ht="30" customHeight="1" x14ac:dyDescent="0.3">
      <c r="A86" s="23" t="s">
        <v>773</v>
      </c>
      <c r="B86" s="23" t="s">
        <v>779</v>
      </c>
      <c r="C86" s="23" t="s">
        <v>132</v>
      </c>
      <c r="D86" s="24"/>
      <c r="E86" s="26"/>
      <c r="F86" s="29"/>
      <c r="G86" s="26"/>
      <c r="H86" s="29"/>
      <c r="I86" s="26"/>
      <c r="J86" s="29"/>
      <c r="K86" s="26"/>
      <c r="L86" s="29"/>
      <c r="M86" s="23" t="s">
        <v>780</v>
      </c>
      <c r="N86" s="2" t="s">
        <v>99</v>
      </c>
      <c r="O86" s="2" t="s">
        <v>781</v>
      </c>
      <c r="P86" s="2" t="s">
        <v>61</v>
      </c>
      <c r="Q86" s="2" t="s">
        <v>61</v>
      </c>
      <c r="R86" s="2" t="s">
        <v>60</v>
      </c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2" t="s">
        <v>51</v>
      </c>
      <c r="AW86" s="2" t="s">
        <v>782</v>
      </c>
      <c r="AX86" s="2" t="s">
        <v>51</v>
      </c>
      <c r="AY86" s="2" t="s">
        <v>51</v>
      </c>
      <c r="AZ86" s="2" t="s">
        <v>51</v>
      </c>
    </row>
    <row r="87" spans="1:52" ht="30" customHeight="1" x14ac:dyDescent="0.3">
      <c r="A87" s="23"/>
      <c r="B87" s="23"/>
      <c r="C87" s="23"/>
      <c r="D87" s="24"/>
      <c r="E87" s="26"/>
      <c r="F87" s="29"/>
      <c r="G87" s="26"/>
      <c r="H87" s="29"/>
      <c r="I87" s="26"/>
      <c r="J87" s="29"/>
      <c r="K87" s="26"/>
      <c r="L87" s="29"/>
      <c r="M87" s="23"/>
      <c r="N87" s="2" t="s">
        <v>99</v>
      </c>
      <c r="O87" s="2" t="s">
        <v>742</v>
      </c>
      <c r="P87" s="2" t="s">
        <v>61</v>
      </c>
      <c r="Q87" s="2" t="s">
        <v>61</v>
      </c>
      <c r="R87" s="2" t="s">
        <v>60</v>
      </c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2" t="s">
        <v>51</v>
      </c>
      <c r="AW87" s="2" t="s">
        <v>783</v>
      </c>
      <c r="AX87" s="2" t="s">
        <v>51</v>
      </c>
      <c r="AY87" s="2" t="s">
        <v>51</v>
      </c>
      <c r="AZ87" s="2" t="s">
        <v>51</v>
      </c>
    </row>
    <row r="88" spans="1:52" ht="30" customHeight="1" x14ac:dyDescent="0.3">
      <c r="A88" s="23" t="s">
        <v>608</v>
      </c>
      <c r="B88" s="23" t="s">
        <v>51</v>
      </c>
      <c r="C88" s="23" t="s">
        <v>51</v>
      </c>
      <c r="D88" s="24"/>
      <c r="E88" s="26"/>
      <c r="F88" s="29"/>
      <c r="G88" s="26"/>
      <c r="H88" s="29"/>
      <c r="I88" s="26"/>
      <c r="J88" s="29"/>
      <c r="K88" s="26"/>
      <c r="L88" s="29"/>
      <c r="M88" s="23" t="s">
        <v>51</v>
      </c>
      <c r="N88" s="2" t="s">
        <v>221</v>
      </c>
      <c r="O88" s="2" t="s">
        <v>221</v>
      </c>
      <c r="P88" s="2" t="s">
        <v>51</v>
      </c>
      <c r="Q88" s="2" t="s">
        <v>51</v>
      </c>
      <c r="R88" s="2" t="s">
        <v>51</v>
      </c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2" t="s">
        <v>51</v>
      </c>
      <c r="AW88" s="2" t="s">
        <v>51</v>
      </c>
      <c r="AX88" s="2" t="s">
        <v>51</v>
      </c>
      <c r="AY88" s="2" t="s">
        <v>51</v>
      </c>
      <c r="AZ88" s="2" t="s">
        <v>51</v>
      </c>
    </row>
    <row r="89" spans="1:52" ht="30" customHeight="1" x14ac:dyDescent="0.3">
      <c r="A89" s="24"/>
      <c r="B89" s="24"/>
      <c r="C89" s="24"/>
      <c r="D89" s="24"/>
      <c r="E89" s="26"/>
      <c r="F89" s="29"/>
      <c r="G89" s="26"/>
      <c r="H89" s="29"/>
      <c r="I89" s="26"/>
      <c r="J89" s="29"/>
      <c r="K89" s="26"/>
      <c r="L89" s="29"/>
      <c r="M89" s="24"/>
    </row>
    <row r="90" spans="1:52" ht="30" customHeight="1" x14ac:dyDescent="0.3">
      <c r="A90" s="88" t="s">
        <v>1857</v>
      </c>
      <c r="B90" s="21"/>
      <c r="C90" s="21"/>
      <c r="D90" s="21"/>
      <c r="E90" s="25"/>
      <c r="F90" s="28"/>
      <c r="G90" s="25"/>
      <c r="H90" s="28"/>
      <c r="I90" s="25"/>
      <c r="J90" s="28"/>
      <c r="K90" s="25"/>
      <c r="L90" s="28"/>
      <c r="M90" s="22"/>
      <c r="N90" s="1" t="s">
        <v>103</v>
      </c>
    </row>
    <row r="91" spans="1:52" ht="30" customHeight="1" x14ac:dyDescent="0.3">
      <c r="A91" s="23" t="s">
        <v>773</v>
      </c>
      <c r="B91" s="23" t="s">
        <v>784</v>
      </c>
      <c r="C91" s="23" t="s">
        <v>132</v>
      </c>
      <c r="D91" s="24"/>
      <c r="E91" s="26"/>
      <c r="F91" s="29"/>
      <c r="G91" s="26"/>
      <c r="H91" s="29"/>
      <c r="I91" s="26"/>
      <c r="J91" s="29"/>
      <c r="K91" s="26"/>
      <c r="L91" s="29"/>
      <c r="M91" s="23" t="s">
        <v>785</v>
      </c>
      <c r="N91" s="2" t="s">
        <v>103</v>
      </c>
      <c r="O91" s="2" t="s">
        <v>786</v>
      </c>
      <c r="P91" s="2" t="s">
        <v>61</v>
      </c>
      <c r="Q91" s="2" t="s">
        <v>61</v>
      </c>
      <c r="R91" s="2" t="s">
        <v>60</v>
      </c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2" t="s">
        <v>51</v>
      </c>
      <c r="AW91" s="2" t="s">
        <v>787</v>
      </c>
      <c r="AX91" s="2" t="s">
        <v>51</v>
      </c>
      <c r="AY91" s="2" t="s">
        <v>51</v>
      </c>
      <c r="AZ91" s="2" t="s">
        <v>51</v>
      </c>
    </row>
    <row r="92" spans="1:52" ht="30" customHeight="1" x14ac:dyDescent="0.3">
      <c r="A92" s="23"/>
      <c r="B92" s="23"/>
      <c r="C92" s="23"/>
      <c r="D92" s="24"/>
      <c r="E92" s="26"/>
      <c r="F92" s="29"/>
      <c r="G92" s="26"/>
      <c r="H92" s="29"/>
      <c r="I92" s="26"/>
      <c r="J92" s="29"/>
      <c r="K92" s="26"/>
      <c r="L92" s="29"/>
      <c r="M92" s="23"/>
      <c r="N92" s="2" t="s">
        <v>103</v>
      </c>
      <c r="O92" s="2" t="s">
        <v>742</v>
      </c>
      <c r="P92" s="2" t="s">
        <v>61</v>
      </c>
      <c r="Q92" s="2" t="s">
        <v>61</v>
      </c>
      <c r="R92" s="2" t="s">
        <v>60</v>
      </c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2" t="s">
        <v>51</v>
      </c>
      <c r="AW92" s="2" t="s">
        <v>788</v>
      </c>
      <c r="AX92" s="2" t="s">
        <v>51</v>
      </c>
      <c r="AY92" s="2" t="s">
        <v>51</v>
      </c>
      <c r="AZ92" s="2" t="s">
        <v>51</v>
      </c>
    </row>
    <row r="93" spans="1:52" ht="30" customHeight="1" x14ac:dyDescent="0.3">
      <c r="A93" s="23" t="s">
        <v>608</v>
      </c>
      <c r="B93" s="23" t="s">
        <v>51</v>
      </c>
      <c r="C93" s="23" t="s">
        <v>51</v>
      </c>
      <c r="D93" s="24"/>
      <c r="E93" s="26"/>
      <c r="F93" s="29"/>
      <c r="G93" s="26"/>
      <c r="H93" s="29"/>
      <c r="I93" s="26"/>
      <c r="J93" s="29"/>
      <c r="K93" s="26"/>
      <c r="L93" s="29"/>
      <c r="M93" s="23" t="s">
        <v>51</v>
      </c>
      <c r="N93" s="2" t="s">
        <v>221</v>
      </c>
      <c r="O93" s="2" t="s">
        <v>221</v>
      </c>
      <c r="P93" s="2" t="s">
        <v>51</v>
      </c>
      <c r="Q93" s="2" t="s">
        <v>51</v>
      </c>
      <c r="R93" s="2" t="s">
        <v>51</v>
      </c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2" t="s">
        <v>51</v>
      </c>
      <c r="AW93" s="2" t="s">
        <v>51</v>
      </c>
      <c r="AX93" s="2" t="s">
        <v>51</v>
      </c>
      <c r="AY93" s="2" t="s">
        <v>51</v>
      </c>
      <c r="AZ93" s="2" t="s">
        <v>51</v>
      </c>
    </row>
    <row r="94" spans="1:52" ht="30" customHeight="1" x14ac:dyDescent="0.3">
      <c r="A94" s="24"/>
      <c r="B94" s="24"/>
      <c r="C94" s="24"/>
      <c r="D94" s="24"/>
      <c r="E94" s="26"/>
      <c r="F94" s="29"/>
      <c r="G94" s="26"/>
      <c r="H94" s="29"/>
      <c r="I94" s="26"/>
      <c r="J94" s="29"/>
      <c r="K94" s="26"/>
      <c r="L94" s="29"/>
      <c r="M94" s="24"/>
    </row>
    <row r="95" spans="1:52" ht="30" customHeight="1" x14ac:dyDescent="0.3">
      <c r="A95" s="20" t="s">
        <v>789</v>
      </c>
      <c r="B95" s="21"/>
      <c r="C95" s="21"/>
      <c r="D95" s="21"/>
      <c r="E95" s="25"/>
      <c r="F95" s="28"/>
      <c r="G95" s="25"/>
      <c r="H95" s="28"/>
      <c r="I95" s="25"/>
      <c r="J95" s="28"/>
      <c r="K95" s="25"/>
      <c r="L95" s="28"/>
      <c r="M95" s="22"/>
      <c r="N95" s="1" t="s">
        <v>59</v>
      </c>
    </row>
    <row r="96" spans="1:52" ht="30" customHeight="1" x14ac:dyDescent="0.3">
      <c r="A96" s="23" t="s">
        <v>791</v>
      </c>
      <c r="B96" s="23" t="s">
        <v>792</v>
      </c>
      <c r="C96" s="23" t="s">
        <v>74</v>
      </c>
      <c r="D96" s="24"/>
      <c r="E96" s="26"/>
      <c r="F96" s="29"/>
      <c r="G96" s="26"/>
      <c r="H96" s="29"/>
      <c r="I96" s="26"/>
      <c r="J96" s="29"/>
      <c r="K96" s="26"/>
      <c r="L96" s="29"/>
      <c r="M96" s="23" t="s">
        <v>793</v>
      </c>
      <c r="N96" s="2" t="s">
        <v>59</v>
      </c>
      <c r="O96" s="2" t="s">
        <v>794</v>
      </c>
      <c r="P96" s="2" t="s">
        <v>61</v>
      </c>
      <c r="Q96" s="2" t="s">
        <v>61</v>
      </c>
      <c r="R96" s="2" t="s">
        <v>60</v>
      </c>
      <c r="S96" s="3"/>
      <c r="T96" s="3"/>
      <c r="U96" s="3"/>
      <c r="V96" s="3">
        <v>1</v>
      </c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2" t="s">
        <v>51</v>
      </c>
      <c r="AW96" s="2" t="s">
        <v>795</v>
      </c>
      <c r="AX96" s="2" t="s">
        <v>51</v>
      </c>
      <c r="AY96" s="2" t="s">
        <v>51</v>
      </c>
      <c r="AZ96" s="2" t="s">
        <v>51</v>
      </c>
    </row>
    <row r="97" spans="1:52" ht="30" customHeight="1" x14ac:dyDescent="0.3">
      <c r="A97" s="23" t="s">
        <v>736</v>
      </c>
      <c r="B97" s="23" t="s">
        <v>737</v>
      </c>
      <c r="C97" s="23" t="s">
        <v>503</v>
      </c>
      <c r="D97" s="24"/>
      <c r="E97" s="26"/>
      <c r="F97" s="29"/>
      <c r="G97" s="26"/>
      <c r="H97" s="29"/>
      <c r="I97" s="26"/>
      <c r="J97" s="29"/>
      <c r="K97" s="26"/>
      <c r="L97" s="29"/>
      <c r="M97" s="23" t="s">
        <v>51</v>
      </c>
      <c r="N97" s="2" t="s">
        <v>59</v>
      </c>
      <c r="O97" s="2" t="s">
        <v>734</v>
      </c>
      <c r="P97" s="2" t="s">
        <v>61</v>
      </c>
      <c r="Q97" s="2" t="s">
        <v>61</v>
      </c>
      <c r="R97" s="2" t="s">
        <v>61</v>
      </c>
      <c r="S97" s="3">
        <v>0</v>
      </c>
      <c r="T97" s="3">
        <v>0</v>
      </c>
      <c r="U97" s="3">
        <v>0.02</v>
      </c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2" t="s">
        <v>51</v>
      </c>
      <c r="AW97" s="2" t="s">
        <v>796</v>
      </c>
      <c r="AX97" s="2" t="s">
        <v>51</v>
      </c>
      <c r="AY97" s="2" t="s">
        <v>51</v>
      </c>
      <c r="AZ97" s="2" t="s">
        <v>51</v>
      </c>
    </row>
    <row r="98" spans="1:52" ht="30" customHeight="1" x14ac:dyDescent="0.3">
      <c r="A98" s="23" t="s">
        <v>740</v>
      </c>
      <c r="B98" s="23" t="s">
        <v>624</v>
      </c>
      <c r="C98" s="23" t="s">
        <v>625</v>
      </c>
      <c r="D98" s="24"/>
      <c r="E98" s="26"/>
      <c r="F98" s="29"/>
      <c r="G98" s="26"/>
      <c r="H98" s="29"/>
      <c r="I98" s="26"/>
      <c r="J98" s="29"/>
      <c r="K98" s="26"/>
      <c r="L98" s="29"/>
      <c r="M98" s="23" t="s">
        <v>1894</v>
      </c>
      <c r="N98" s="2" t="s">
        <v>59</v>
      </c>
      <c r="O98" s="2" t="s">
        <v>742</v>
      </c>
      <c r="P98" s="2" t="s">
        <v>61</v>
      </c>
      <c r="Q98" s="2" t="s">
        <v>61</v>
      </c>
      <c r="R98" s="2" t="s">
        <v>60</v>
      </c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2" t="s">
        <v>51</v>
      </c>
      <c r="AW98" s="2" t="s">
        <v>797</v>
      </c>
      <c r="AX98" s="2" t="s">
        <v>51</v>
      </c>
      <c r="AY98" s="2" t="s">
        <v>51</v>
      </c>
      <c r="AZ98" s="2" t="s">
        <v>51</v>
      </c>
    </row>
    <row r="99" spans="1:52" ht="30" customHeight="1" x14ac:dyDescent="0.3">
      <c r="A99" s="23" t="s">
        <v>608</v>
      </c>
      <c r="B99" s="23" t="s">
        <v>51</v>
      </c>
      <c r="C99" s="23" t="s">
        <v>51</v>
      </c>
      <c r="D99" s="24"/>
      <c r="E99" s="26"/>
      <c r="F99" s="29"/>
      <c r="G99" s="26"/>
      <c r="H99" s="29"/>
      <c r="I99" s="26"/>
      <c r="J99" s="29"/>
      <c r="K99" s="26"/>
      <c r="L99" s="29"/>
      <c r="M99" s="23" t="s">
        <v>51</v>
      </c>
      <c r="N99" s="2" t="s">
        <v>221</v>
      </c>
      <c r="O99" s="2" t="s">
        <v>221</v>
      </c>
      <c r="P99" s="2" t="s">
        <v>51</v>
      </c>
      <c r="Q99" s="2" t="s">
        <v>51</v>
      </c>
      <c r="R99" s="2" t="s">
        <v>51</v>
      </c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2" t="s">
        <v>51</v>
      </c>
      <c r="AW99" s="2" t="s">
        <v>51</v>
      </c>
      <c r="AX99" s="2" t="s">
        <v>51</v>
      </c>
      <c r="AY99" s="2" t="s">
        <v>51</v>
      </c>
      <c r="AZ99" s="2" t="s">
        <v>51</v>
      </c>
    </row>
    <row r="100" spans="1:52" ht="30" customHeight="1" x14ac:dyDescent="0.3">
      <c r="A100" s="24"/>
      <c r="B100" s="24"/>
      <c r="C100" s="24"/>
      <c r="D100" s="24"/>
      <c r="E100" s="26"/>
      <c r="F100" s="29"/>
      <c r="G100" s="26"/>
      <c r="H100" s="29"/>
      <c r="I100" s="26"/>
      <c r="J100" s="29"/>
      <c r="K100" s="26"/>
      <c r="L100" s="29"/>
      <c r="M100" s="24"/>
    </row>
    <row r="101" spans="1:52" ht="30" customHeight="1" x14ac:dyDescent="0.3">
      <c r="A101" s="20" t="s">
        <v>798</v>
      </c>
      <c r="B101" s="21"/>
      <c r="C101" s="21"/>
      <c r="D101" s="21"/>
      <c r="E101" s="25"/>
      <c r="F101" s="28"/>
      <c r="G101" s="25"/>
      <c r="H101" s="28"/>
      <c r="I101" s="25"/>
      <c r="J101" s="28"/>
      <c r="K101" s="25"/>
      <c r="L101" s="28"/>
      <c r="M101" s="22"/>
      <c r="N101" s="1" t="s">
        <v>65</v>
      </c>
    </row>
    <row r="102" spans="1:52" ht="30" customHeight="1" x14ac:dyDescent="0.3">
      <c r="A102" s="23" t="s">
        <v>791</v>
      </c>
      <c r="B102" s="23" t="s">
        <v>799</v>
      </c>
      <c r="C102" s="23" t="s">
        <v>74</v>
      </c>
      <c r="D102" s="24"/>
      <c r="E102" s="26"/>
      <c r="F102" s="29"/>
      <c r="G102" s="26"/>
      <c r="H102" s="29"/>
      <c r="I102" s="26"/>
      <c r="J102" s="29"/>
      <c r="K102" s="26"/>
      <c r="L102" s="29"/>
      <c r="M102" s="23" t="s">
        <v>800</v>
      </c>
      <c r="N102" s="2" t="s">
        <v>65</v>
      </c>
      <c r="O102" s="2" t="s">
        <v>801</v>
      </c>
      <c r="P102" s="2" t="s">
        <v>61</v>
      </c>
      <c r="Q102" s="2" t="s">
        <v>61</v>
      </c>
      <c r="R102" s="2" t="s">
        <v>60</v>
      </c>
      <c r="S102" s="3"/>
      <c r="T102" s="3"/>
      <c r="U102" s="3"/>
      <c r="V102" s="3">
        <v>1</v>
      </c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2" t="s">
        <v>51</v>
      </c>
      <c r="AW102" s="2" t="s">
        <v>802</v>
      </c>
      <c r="AX102" s="2" t="s">
        <v>51</v>
      </c>
      <c r="AY102" s="2" t="s">
        <v>51</v>
      </c>
      <c r="AZ102" s="2" t="s">
        <v>51</v>
      </c>
    </row>
    <row r="103" spans="1:52" ht="30" customHeight="1" x14ac:dyDescent="0.3">
      <c r="A103" s="23" t="s">
        <v>736</v>
      </c>
      <c r="B103" s="23" t="s">
        <v>737</v>
      </c>
      <c r="C103" s="23" t="s">
        <v>503</v>
      </c>
      <c r="D103" s="24"/>
      <c r="E103" s="26"/>
      <c r="F103" s="29"/>
      <c r="G103" s="26"/>
      <c r="H103" s="29"/>
      <c r="I103" s="26"/>
      <c r="J103" s="29"/>
      <c r="K103" s="26"/>
      <c r="L103" s="29"/>
      <c r="M103" s="23" t="s">
        <v>51</v>
      </c>
      <c r="N103" s="2" t="s">
        <v>65</v>
      </c>
      <c r="O103" s="2" t="s">
        <v>734</v>
      </c>
      <c r="P103" s="2" t="s">
        <v>61</v>
      </c>
      <c r="Q103" s="2" t="s">
        <v>61</v>
      </c>
      <c r="R103" s="2" t="s">
        <v>61</v>
      </c>
      <c r="S103" s="3">
        <v>0</v>
      </c>
      <c r="T103" s="3">
        <v>0</v>
      </c>
      <c r="U103" s="3">
        <v>0.02</v>
      </c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2" t="s">
        <v>51</v>
      </c>
      <c r="AW103" s="2" t="s">
        <v>803</v>
      </c>
      <c r="AX103" s="2" t="s">
        <v>51</v>
      </c>
      <c r="AY103" s="2" t="s">
        <v>51</v>
      </c>
      <c r="AZ103" s="2" t="s">
        <v>51</v>
      </c>
    </row>
    <row r="104" spans="1:52" ht="30" customHeight="1" x14ac:dyDescent="0.3">
      <c r="A104" s="23" t="s">
        <v>740</v>
      </c>
      <c r="B104" s="23" t="s">
        <v>624</v>
      </c>
      <c r="C104" s="23" t="s">
        <v>625</v>
      </c>
      <c r="D104" s="24"/>
      <c r="E104" s="26"/>
      <c r="F104" s="29"/>
      <c r="G104" s="26"/>
      <c r="H104" s="29"/>
      <c r="I104" s="26"/>
      <c r="J104" s="29"/>
      <c r="K104" s="26"/>
      <c r="L104" s="29"/>
      <c r="M104" s="23" t="s">
        <v>1894</v>
      </c>
      <c r="N104" s="2" t="s">
        <v>65</v>
      </c>
      <c r="O104" s="2" t="s">
        <v>742</v>
      </c>
      <c r="P104" s="2" t="s">
        <v>61</v>
      </c>
      <c r="Q104" s="2" t="s">
        <v>61</v>
      </c>
      <c r="R104" s="2" t="s">
        <v>60</v>
      </c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2" t="s">
        <v>51</v>
      </c>
      <c r="AW104" s="2" t="s">
        <v>804</v>
      </c>
      <c r="AX104" s="2" t="s">
        <v>51</v>
      </c>
      <c r="AY104" s="2" t="s">
        <v>51</v>
      </c>
      <c r="AZ104" s="2" t="s">
        <v>51</v>
      </c>
    </row>
    <row r="105" spans="1:52" ht="30" customHeight="1" x14ac:dyDescent="0.3">
      <c r="A105" s="23" t="s">
        <v>608</v>
      </c>
      <c r="B105" s="23" t="s">
        <v>51</v>
      </c>
      <c r="C105" s="23" t="s">
        <v>51</v>
      </c>
      <c r="D105" s="24"/>
      <c r="E105" s="26"/>
      <c r="F105" s="29"/>
      <c r="G105" s="26"/>
      <c r="H105" s="29"/>
      <c r="I105" s="26"/>
      <c r="J105" s="29"/>
      <c r="K105" s="26"/>
      <c r="L105" s="29"/>
      <c r="M105" s="23" t="s">
        <v>51</v>
      </c>
      <c r="N105" s="2" t="s">
        <v>221</v>
      </c>
      <c r="O105" s="2" t="s">
        <v>221</v>
      </c>
      <c r="P105" s="2" t="s">
        <v>51</v>
      </c>
      <c r="Q105" s="2" t="s">
        <v>51</v>
      </c>
      <c r="R105" s="2" t="s">
        <v>51</v>
      </c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2" t="s">
        <v>51</v>
      </c>
      <c r="AW105" s="2" t="s">
        <v>51</v>
      </c>
      <c r="AX105" s="2" t="s">
        <v>51</v>
      </c>
      <c r="AY105" s="2" t="s">
        <v>51</v>
      </c>
      <c r="AZ105" s="2" t="s">
        <v>51</v>
      </c>
    </row>
    <row r="106" spans="1:52" ht="30" customHeight="1" x14ac:dyDescent="0.3">
      <c r="A106" s="24"/>
      <c r="B106" s="24"/>
      <c r="C106" s="24"/>
      <c r="D106" s="24"/>
      <c r="E106" s="26"/>
      <c r="F106" s="29"/>
      <c r="G106" s="26"/>
      <c r="H106" s="29"/>
      <c r="I106" s="26"/>
      <c r="J106" s="29"/>
      <c r="K106" s="26"/>
      <c r="L106" s="29"/>
      <c r="M106" s="24"/>
    </row>
    <row r="107" spans="1:52" ht="30" customHeight="1" x14ac:dyDescent="0.3">
      <c r="A107" s="20" t="s">
        <v>805</v>
      </c>
      <c r="B107" s="21"/>
      <c r="C107" s="21"/>
      <c r="D107" s="21"/>
      <c r="E107" s="25"/>
      <c r="F107" s="28"/>
      <c r="G107" s="25"/>
      <c r="H107" s="28"/>
      <c r="I107" s="25"/>
      <c r="J107" s="28"/>
      <c r="K107" s="25"/>
      <c r="L107" s="28"/>
      <c r="M107" s="22"/>
      <c r="N107" s="1" t="s">
        <v>70</v>
      </c>
    </row>
    <row r="108" spans="1:52" ht="30" customHeight="1" x14ac:dyDescent="0.3">
      <c r="A108" s="23" t="s">
        <v>807</v>
      </c>
      <c r="B108" s="23" t="s">
        <v>808</v>
      </c>
      <c r="C108" s="23" t="s">
        <v>74</v>
      </c>
      <c r="D108" s="24"/>
      <c r="E108" s="26"/>
      <c r="F108" s="29"/>
      <c r="G108" s="26"/>
      <c r="H108" s="29"/>
      <c r="I108" s="26"/>
      <c r="J108" s="29"/>
      <c r="K108" s="26"/>
      <c r="L108" s="29"/>
      <c r="M108" s="23" t="s">
        <v>809</v>
      </c>
      <c r="N108" s="2" t="s">
        <v>70</v>
      </c>
      <c r="O108" s="2" t="s">
        <v>810</v>
      </c>
      <c r="P108" s="2" t="s">
        <v>61</v>
      </c>
      <c r="Q108" s="2" t="s">
        <v>61</v>
      </c>
      <c r="R108" s="2" t="s">
        <v>60</v>
      </c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2" t="s">
        <v>51</v>
      </c>
      <c r="AW108" s="2" t="s">
        <v>811</v>
      </c>
      <c r="AX108" s="2" t="s">
        <v>51</v>
      </c>
      <c r="AY108" s="2" t="s">
        <v>51</v>
      </c>
      <c r="AZ108" s="2" t="s">
        <v>51</v>
      </c>
    </row>
    <row r="109" spans="1:52" ht="30" customHeight="1" x14ac:dyDescent="0.3">
      <c r="A109" s="23" t="s">
        <v>736</v>
      </c>
      <c r="B109" s="23" t="s">
        <v>737</v>
      </c>
      <c r="C109" s="23" t="s">
        <v>503</v>
      </c>
      <c r="D109" s="24"/>
      <c r="E109" s="26"/>
      <c r="F109" s="29"/>
      <c r="G109" s="26"/>
      <c r="H109" s="29"/>
      <c r="I109" s="26"/>
      <c r="J109" s="29"/>
      <c r="K109" s="26"/>
      <c r="L109" s="29"/>
      <c r="M109" s="23" t="s">
        <v>51</v>
      </c>
      <c r="N109" s="2" t="s">
        <v>70</v>
      </c>
      <c r="O109" s="2" t="s">
        <v>734</v>
      </c>
      <c r="P109" s="2" t="s">
        <v>61</v>
      </c>
      <c r="Q109" s="2" t="s">
        <v>61</v>
      </c>
      <c r="R109" s="2" t="s">
        <v>61</v>
      </c>
      <c r="S109" s="3">
        <v>0</v>
      </c>
      <c r="T109" s="3">
        <v>0</v>
      </c>
      <c r="U109" s="3">
        <v>0.02</v>
      </c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2" t="s">
        <v>51</v>
      </c>
      <c r="AW109" s="2" t="s">
        <v>812</v>
      </c>
      <c r="AX109" s="2" t="s">
        <v>51</v>
      </c>
      <c r="AY109" s="2" t="s">
        <v>51</v>
      </c>
      <c r="AZ109" s="2" t="s">
        <v>51</v>
      </c>
    </row>
    <row r="110" spans="1:52" ht="30" customHeight="1" x14ac:dyDescent="0.3">
      <c r="A110" s="23" t="s">
        <v>813</v>
      </c>
      <c r="B110" s="23" t="s">
        <v>624</v>
      </c>
      <c r="C110" s="23" t="s">
        <v>625</v>
      </c>
      <c r="D110" s="24"/>
      <c r="E110" s="26"/>
      <c r="F110" s="29"/>
      <c r="G110" s="26"/>
      <c r="H110" s="29"/>
      <c r="I110" s="26"/>
      <c r="J110" s="29"/>
      <c r="K110" s="26"/>
      <c r="L110" s="29"/>
      <c r="M110" s="23" t="s">
        <v>1895</v>
      </c>
      <c r="N110" s="2" t="s">
        <v>70</v>
      </c>
      <c r="O110" s="2" t="s">
        <v>815</v>
      </c>
      <c r="P110" s="2" t="s">
        <v>61</v>
      </c>
      <c r="Q110" s="2" t="s">
        <v>61</v>
      </c>
      <c r="R110" s="2" t="s">
        <v>60</v>
      </c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2" t="s">
        <v>51</v>
      </c>
      <c r="AW110" s="2" t="s">
        <v>816</v>
      </c>
      <c r="AX110" s="2" t="s">
        <v>51</v>
      </c>
      <c r="AY110" s="2" t="s">
        <v>51</v>
      </c>
      <c r="AZ110" s="2" t="s">
        <v>51</v>
      </c>
    </row>
    <row r="111" spans="1:52" ht="30" customHeight="1" x14ac:dyDescent="0.3">
      <c r="A111" s="23" t="s">
        <v>608</v>
      </c>
      <c r="B111" s="23" t="s">
        <v>51</v>
      </c>
      <c r="C111" s="23" t="s">
        <v>51</v>
      </c>
      <c r="D111" s="24"/>
      <c r="E111" s="26"/>
      <c r="F111" s="29"/>
      <c r="G111" s="26"/>
      <c r="H111" s="29"/>
      <c r="I111" s="26"/>
      <c r="J111" s="29"/>
      <c r="K111" s="26"/>
      <c r="L111" s="29"/>
      <c r="M111" s="23" t="s">
        <v>51</v>
      </c>
      <c r="N111" s="2" t="s">
        <v>221</v>
      </c>
      <c r="O111" s="2" t="s">
        <v>221</v>
      </c>
      <c r="P111" s="2" t="s">
        <v>51</v>
      </c>
      <c r="Q111" s="2" t="s">
        <v>51</v>
      </c>
      <c r="R111" s="2" t="s">
        <v>51</v>
      </c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2" t="s">
        <v>51</v>
      </c>
      <c r="AW111" s="2" t="s">
        <v>51</v>
      </c>
      <c r="AX111" s="2" t="s">
        <v>51</v>
      </c>
      <c r="AY111" s="2" t="s">
        <v>51</v>
      </c>
      <c r="AZ111" s="2" t="s">
        <v>51</v>
      </c>
    </row>
    <row r="112" spans="1:52" ht="30" customHeight="1" x14ac:dyDescent="0.3">
      <c r="A112" s="24"/>
      <c r="B112" s="24"/>
      <c r="C112" s="24"/>
      <c r="D112" s="24"/>
      <c r="E112" s="26"/>
      <c r="F112" s="29"/>
      <c r="G112" s="26"/>
      <c r="H112" s="29"/>
      <c r="I112" s="26"/>
      <c r="J112" s="29"/>
      <c r="K112" s="26"/>
      <c r="L112" s="29"/>
      <c r="M112" s="24"/>
    </row>
    <row r="113" spans="1:52" ht="30" customHeight="1" x14ac:dyDescent="0.3">
      <c r="A113" s="20" t="s">
        <v>817</v>
      </c>
      <c r="B113" s="21"/>
      <c r="C113" s="21"/>
      <c r="D113" s="21"/>
      <c r="E113" s="25"/>
      <c r="F113" s="28"/>
      <c r="G113" s="25"/>
      <c r="H113" s="28"/>
      <c r="I113" s="25"/>
      <c r="J113" s="28"/>
      <c r="K113" s="25"/>
      <c r="L113" s="28"/>
      <c r="M113" s="22"/>
      <c r="N113" s="1" t="s">
        <v>134</v>
      </c>
    </row>
    <row r="114" spans="1:52" ht="30" customHeight="1" x14ac:dyDescent="0.3">
      <c r="A114" s="23" t="s">
        <v>819</v>
      </c>
      <c r="B114" s="23" t="s">
        <v>820</v>
      </c>
      <c r="C114" s="23" t="s">
        <v>132</v>
      </c>
      <c r="D114" s="24"/>
      <c r="E114" s="26"/>
      <c r="F114" s="29"/>
      <c r="G114" s="26"/>
      <c r="H114" s="29"/>
      <c r="I114" s="26"/>
      <c r="J114" s="29"/>
      <c r="K114" s="26"/>
      <c r="L114" s="29"/>
      <c r="M114" s="23" t="s">
        <v>821</v>
      </c>
      <c r="N114" s="2" t="s">
        <v>134</v>
      </c>
      <c r="O114" s="2" t="s">
        <v>822</v>
      </c>
      <c r="P114" s="2" t="s">
        <v>61</v>
      </c>
      <c r="Q114" s="2" t="s">
        <v>61</v>
      </c>
      <c r="R114" s="2" t="s">
        <v>60</v>
      </c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2" t="s">
        <v>51</v>
      </c>
      <c r="AW114" s="2" t="s">
        <v>823</v>
      </c>
      <c r="AX114" s="2" t="s">
        <v>51</v>
      </c>
      <c r="AY114" s="2" t="s">
        <v>51</v>
      </c>
      <c r="AZ114" s="2" t="s">
        <v>51</v>
      </c>
    </row>
    <row r="115" spans="1:52" ht="30" customHeight="1" x14ac:dyDescent="0.3">
      <c r="A115" s="23" t="s">
        <v>740</v>
      </c>
      <c r="B115" s="23" t="s">
        <v>624</v>
      </c>
      <c r="C115" s="23" t="s">
        <v>625</v>
      </c>
      <c r="D115" s="24"/>
      <c r="E115" s="26"/>
      <c r="F115" s="29"/>
      <c r="G115" s="26"/>
      <c r="H115" s="29"/>
      <c r="I115" s="26"/>
      <c r="J115" s="29"/>
      <c r="K115" s="26"/>
      <c r="L115" s="29"/>
      <c r="M115" s="23" t="s">
        <v>1894</v>
      </c>
      <c r="N115" s="2" t="s">
        <v>134</v>
      </c>
      <c r="O115" s="2" t="s">
        <v>742</v>
      </c>
      <c r="P115" s="2" t="s">
        <v>61</v>
      </c>
      <c r="Q115" s="2" t="s">
        <v>61</v>
      </c>
      <c r="R115" s="2" t="s">
        <v>60</v>
      </c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2" t="s">
        <v>51</v>
      </c>
      <c r="AW115" s="2" t="s">
        <v>824</v>
      </c>
      <c r="AX115" s="2" t="s">
        <v>51</v>
      </c>
      <c r="AY115" s="2" t="s">
        <v>51</v>
      </c>
      <c r="AZ115" s="2" t="s">
        <v>51</v>
      </c>
    </row>
    <row r="116" spans="1:52" ht="30" customHeight="1" x14ac:dyDescent="0.3">
      <c r="A116" s="23" t="s">
        <v>608</v>
      </c>
      <c r="B116" s="23" t="s">
        <v>51</v>
      </c>
      <c r="C116" s="23" t="s">
        <v>51</v>
      </c>
      <c r="D116" s="24"/>
      <c r="E116" s="26"/>
      <c r="F116" s="29"/>
      <c r="G116" s="26"/>
      <c r="H116" s="29"/>
      <c r="I116" s="26"/>
      <c r="J116" s="29"/>
      <c r="K116" s="26"/>
      <c r="L116" s="29"/>
      <c r="M116" s="23" t="s">
        <v>51</v>
      </c>
      <c r="N116" s="2" t="s">
        <v>221</v>
      </c>
      <c r="O116" s="2" t="s">
        <v>221</v>
      </c>
      <c r="P116" s="2" t="s">
        <v>51</v>
      </c>
      <c r="Q116" s="2" t="s">
        <v>51</v>
      </c>
      <c r="R116" s="2" t="s">
        <v>51</v>
      </c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2" t="s">
        <v>51</v>
      </c>
      <c r="AW116" s="2" t="s">
        <v>51</v>
      </c>
      <c r="AX116" s="2" t="s">
        <v>51</v>
      </c>
      <c r="AY116" s="2" t="s">
        <v>51</v>
      </c>
      <c r="AZ116" s="2" t="s">
        <v>51</v>
      </c>
    </row>
    <row r="117" spans="1:52" ht="30" customHeight="1" x14ac:dyDescent="0.3">
      <c r="A117" s="24"/>
      <c r="B117" s="24"/>
      <c r="C117" s="24"/>
      <c r="D117" s="24"/>
      <c r="E117" s="26"/>
      <c r="F117" s="29"/>
      <c r="G117" s="26"/>
      <c r="H117" s="29"/>
      <c r="I117" s="26"/>
      <c r="J117" s="29"/>
      <c r="K117" s="26"/>
      <c r="L117" s="29"/>
      <c r="M117" s="24"/>
    </row>
    <row r="118" spans="1:52" ht="30" customHeight="1" x14ac:dyDescent="0.3">
      <c r="A118" s="20" t="s">
        <v>825</v>
      </c>
      <c r="B118" s="21"/>
      <c r="C118" s="21"/>
      <c r="D118" s="21"/>
      <c r="E118" s="25"/>
      <c r="F118" s="28"/>
      <c r="G118" s="25"/>
      <c r="H118" s="28"/>
      <c r="I118" s="25"/>
      <c r="J118" s="28"/>
      <c r="K118" s="25"/>
      <c r="L118" s="28"/>
      <c r="M118" s="22"/>
      <c r="N118" s="1" t="s">
        <v>139</v>
      </c>
    </row>
    <row r="119" spans="1:52" ht="30" customHeight="1" x14ac:dyDescent="0.3">
      <c r="A119" s="23" t="s">
        <v>827</v>
      </c>
      <c r="B119" s="23" t="s">
        <v>828</v>
      </c>
      <c r="C119" s="23" t="s">
        <v>132</v>
      </c>
      <c r="D119" s="24"/>
      <c r="E119" s="26"/>
      <c r="F119" s="29"/>
      <c r="G119" s="26"/>
      <c r="H119" s="29"/>
      <c r="I119" s="26"/>
      <c r="J119" s="29"/>
      <c r="K119" s="26"/>
      <c r="L119" s="29"/>
      <c r="M119" s="23" t="s">
        <v>829</v>
      </c>
      <c r="N119" s="2" t="s">
        <v>139</v>
      </c>
      <c r="O119" s="2" t="s">
        <v>830</v>
      </c>
      <c r="P119" s="2" t="s">
        <v>61</v>
      </c>
      <c r="Q119" s="2" t="s">
        <v>61</v>
      </c>
      <c r="R119" s="2" t="s">
        <v>60</v>
      </c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2" t="s">
        <v>51</v>
      </c>
      <c r="AW119" s="2" t="s">
        <v>831</v>
      </c>
      <c r="AX119" s="2" t="s">
        <v>51</v>
      </c>
      <c r="AY119" s="2" t="s">
        <v>51</v>
      </c>
      <c r="AZ119" s="2" t="s">
        <v>51</v>
      </c>
    </row>
    <row r="120" spans="1:52" ht="30" customHeight="1" x14ac:dyDescent="0.3">
      <c r="A120" s="23" t="s">
        <v>740</v>
      </c>
      <c r="B120" s="23" t="s">
        <v>624</v>
      </c>
      <c r="C120" s="23" t="s">
        <v>625</v>
      </c>
      <c r="D120" s="24"/>
      <c r="E120" s="26"/>
      <c r="F120" s="29"/>
      <c r="G120" s="26"/>
      <c r="H120" s="29"/>
      <c r="I120" s="26"/>
      <c r="J120" s="29"/>
      <c r="K120" s="26"/>
      <c r="L120" s="29"/>
      <c r="M120" s="23" t="s">
        <v>1894</v>
      </c>
      <c r="N120" s="2" t="s">
        <v>139</v>
      </c>
      <c r="O120" s="2" t="s">
        <v>742</v>
      </c>
      <c r="P120" s="2" t="s">
        <v>61</v>
      </c>
      <c r="Q120" s="2" t="s">
        <v>61</v>
      </c>
      <c r="R120" s="2" t="s">
        <v>60</v>
      </c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2" t="s">
        <v>51</v>
      </c>
      <c r="AW120" s="2" t="s">
        <v>832</v>
      </c>
      <c r="AX120" s="2" t="s">
        <v>51</v>
      </c>
      <c r="AY120" s="2" t="s">
        <v>51</v>
      </c>
      <c r="AZ120" s="2" t="s">
        <v>51</v>
      </c>
    </row>
    <row r="121" spans="1:52" ht="30" customHeight="1" x14ac:dyDescent="0.3">
      <c r="A121" s="23" t="s">
        <v>608</v>
      </c>
      <c r="B121" s="23" t="s">
        <v>51</v>
      </c>
      <c r="C121" s="23" t="s">
        <v>51</v>
      </c>
      <c r="D121" s="24"/>
      <c r="E121" s="26"/>
      <c r="F121" s="29"/>
      <c r="G121" s="26"/>
      <c r="H121" s="29"/>
      <c r="I121" s="26"/>
      <c r="J121" s="29"/>
      <c r="K121" s="26"/>
      <c r="L121" s="29"/>
      <c r="M121" s="23" t="s">
        <v>51</v>
      </c>
      <c r="N121" s="2" t="s">
        <v>221</v>
      </c>
      <c r="O121" s="2" t="s">
        <v>221</v>
      </c>
      <c r="P121" s="2" t="s">
        <v>51</v>
      </c>
      <c r="Q121" s="2" t="s">
        <v>51</v>
      </c>
      <c r="R121" s="2" t="s">
        <v>51</v>
      </c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2" t="s">
        <v>51</v>
      </c>
      <c r="AW121" s="2" t="s">
        <v>51</v>
      </c>
      <c r="AX121" s="2" t="s">
        <v>51</v>
      </c>
      <c r="AY121" s="2" t="s">
        <v>51</v>
      </c>
      <c r="AZ121" s="2" t="s">
        <v>51</v>
      </c>
    </row>
    <row r="122" spans="1:52" ht="30" customHeight="1" x14ac:dyDescent="0.3">
      <c r="A122" s="24"/>
      <c r="B122" s="24"/>
      <c r="C122" s="24"/>
      <c r="D122" s="24"/>
      <c r="E122" s="26"/>
      <c r="F122" s="29"/>
      <c r="G122" s="26"/>
      <c r="H122" s="29"/>
      <c r="I122" s="26"/>
      <c r="J122" s="29"/>
      <c r="K122" s="26"/>
      <c r="L122" s="29"/>
      <c r="M122" s="24"/>
    </row>
    <row r="123" spans="1:52" ht="30" customHeight="1" x14ac:dyDescent="0.3">
      <c r="A123" s="20" t="s">
        <v>833</v>
      </c>
      <c r="B123" s="21"/>
      <c r="C123" s="21"/>
      <c r="D123" s="21"/>
      <c r="E123" s="25"/>
      <c r="F123" s="28"/>
      <c r="G123" s="25"/>
      <c r="H123" s="28"/>
      <c r="I123" s="25"/>
      <c r="J123" s="28"/>
      <c r="K123" s="25"/>
      <c r="L123" s="28"/>
      <c r="M123" s="22"/>
      <c r="N123" s="1" t="s">
        <v>189</v>
      </c>
    </row>
    <row r="124" spans="1:52" ht="30" customHeight="1" x14ac:dyDescent="0.3">
      <c r="A124" s="23" t="s">
        <v>835</v>
      </c>
      <c r="B124" s="23" t="s">
        <v>51</v>
      </c>
      <c r="C124" s="23" t="s">
        <v>132</v>
      </c>
      <c r="D124" s="24"/>
      <c r="E124" s="26"/>
      <c r="F124" s="29"/>
      <c r="G124" s="26"/>
      <c r="H124" s="29"/>
      <c r="I124" s="26"/>
      <c r="J124" s="29"/>
      <c r="K124" s="26"/>
      <c r="L124" s="29"/>
      <c r="M124" s="23" t="s">
        <v>836</v>
      </c>
      <c r="N124" s="2" t="s">
        <v>189</v>
      </c>
      <c r="O124" s="2" t="s">
        <v>837</v>
      </c>
      <c r="P124" s="2" t="s">
        <v>61</v>
      </c>
      <c r="Q124" s="2" t="s">
        <v>61</v>
      </c>
      <c r="R124" s="2" t="s">
        <v>60</v>
      </c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2" t="s">
        <v>51</v>
      </c>
      <c r="AW124" s="2" t="s">
        <v>838</v>
      </c>
      <c r="AX124" s="2" t="s">
        <v>51</v>
      </c>
      <c r="AY124" s="2" t="s">
        <v>51</v>
      </c>
      <c r="AZ124" s="2" t="s">
        <v>51</v>
      </c>
    </row>
    <row r="125" spans="1:52" ht="30" customHeight="1" x14ac:dyDescent="0.3">
      <c r="A125" s="23" t="s">
        <v>629</v>
      </c>
      <c r="B125" s="23" t="s">
        <v>624</v>
      </c>
      <c r="C125" s="23" t="s">
        <v>625</v>
      </c>
      <c r="D125" s="24"/>
      <c r="E125" s="26"/>
      <c r="F125" s="29"/>
      <c r="G125" s="26"/>
      <c r="H125" s="29"/>
      <c r="I125" s="26"/>
      <c r="J125" s="29"/>
      <c r="K125" s="26"/>
      <c r="L125" s="29"/>
      <c r="M125" s="23" t="s">
        <v>630</v>
      </c>
      <c r="N125" s="2" t="s">
        <v>189</v>
      </c>
      <c r="O125" s="2" t="s">
        <v>631</v>
      </c>
      <c r="P125" s="2" t="s">
        <v>61</v>
      </c>
      <c r="Q125" s="2" t="s">
        <v>61</v>
      </c>
      <c r="R125" s="2" t="s">
        <v>60</v>
      </c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2" t="s">
        <v>51</v>
      </c>
      <c r="AW125" s="2" t="s">
        <v>839</v>
      </c>
      <c r="AX125" s="2" t="s">
        <v>51</v>
      </c>
      <c r="AY125" s="2" t="s">
        <v>51</v>
      </c>
      <c r="AZ125" s="2" t="s">
        <v>51</v>
      </c>
    </row>
    <row r="126" spans="1:52" ht="30" customHeight="1" x14ac:dyDescent="0.3">
      <c r="A126" s="23" t="s">
        <v>840</v>
      </c>
      <c r="B126" s="23" t="s">
        <v>624</v>
      </c>
      <c r="C126" s="23" t="s">
        <v>625</v>
      </c>
      <c r="D126" s="24"/>
      <c r="E126" s="26"/>
      <c r="F126" s="29"/>
      <c r="G126" s="26"/>
      <c r="H126" s="29"/>
      <c r="I126" s="26"/>
      <c r="J126" s="29"/>
      <c r="K126" s="26"/>
      <c r="L126" s="29"/>
      <c r="M126" s="23" t="s">
        <v>1896</v>
      </c>
      <c r="N126" s="2" t="s">
        <v>189</v>
      </c>
      <c r="O126" s="2" t="s">
        <v>842</v>
      </c>
      <c r="P126" s="2" t="s">
        <v>61</v>
      </c>
      <c r="Q126" s="2" t="s">
        <v>61</v>
      </c>
      <c r="R126" s="2" t="s">
        <v>60</v>
      </c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2" t="s">
        <v>51</v>
      </c>
      <c r="AW126" s="2" t="s">
        <v>843</v>
      </c>
      <c r="AX126" s="2" t="s">
        <v>51</v>
      </c>
      <c r="AY126" s="2" t="s">
        <v>51</v>
      </c>
      <c r="AZ126" s="2" t="s">
        <v>51</v>
      </c>
    </row>
    <row r="127" spans="1:52" ht="30" customHeight="1" x14ac:dyDescent="0.3">
      <c r="A127" s="23" t="s">
        <v>608</v>
      </c>
      <c r="B127" s="23" t="s">
        <v>51</v>
      </c>
      <c r="C127" s="23" t="s">
        <v>51</v>
      </c>
      <c r="D127" s="24"/>
      <c r="E127" s="26"/>
      <c r="F127" s="29"/>
      <c r="G127" s="26"/>
      <c r="H127" s="29"/>
      <c r="I127" s="26"/>
      <c r="J127" s="29"/>
      <c r="K127" s="26"/>
      <c r="L127" s="29"/>
      <c r="M127" s="23" t="s">
        <v>51</v>
      </c>
      <c r="N127" s="2" t="s">
        <v>221</v>
      </c>
      <c r="O127" s="2" t="s">
        <v>221</v>
      </c>
      <c r="P127" s="2" t="s">
        <v>51</v>
      </c>
      <c r="Q127" s="2" t="s">
        <v>51</v>
      </c>
      <c r="R127" s="2" t="s">
        <v>51</v>
      </c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2" t="s">
        <v>51</v>
      </c>
      <c r="AW127" s="2" t="s">
        <v>51</v>
      </c>
      <c r="AX127" s="2" t="s">
        <v>51</v>
      </c>
      <c r="AY127" s="2" t="s">
        <v>51</v>
      </c>
      <c r="AZ127" s="2" t="s">
        <v>51</v>
      </c>
    </row>
    <row r="128" spans="1:52" ht="30" customHeight="1" x14ac:dyDescent="0.3">
      <c r="A128" s="24"/>
      <c r="B128" s="24"/>
      <c r="C128" s="24"/>
      <c r="D128" s="24"/>
      <c r="E128" s="26"/>
      <c r="F128" s="29"/>
      <c r="G128" s="26"/>
      <c r="H128" s="29"/>
      <c r="I128" s="26"/>
      <c r="J128" s="29"/>
      <c r="K128" s="26"/>
      <c r="L128" s="29"/>
      <c r="M128" s="24"/>
    </row>
    <row r="129" spans="1:52" ht="30" customHeight="1" x14ac:dyDescent="0.3">
      <c r="A129" s="20" t="s">
        <v>844</v>
      </c>
      <c r="B129" s="21"/>
      <c r="C129" s="21"/>
      <c r="D129" s="21"/>
      <c r="E129" s="25"/>
      <c r="F129" s="28"/>
      <c r="G129" s="25"/>
      <c r="H129" s="28"/>
      <c r="I129" s="25"/>
      <c r="J129" s="28"/>
      <c r="K129" s="25"/>
      <c r="L129" s="28"/>
      <c r="M129" s="22"/>
      <c r="N129" s="1" t="s">
        <v>193</v>
      </c>
    </row>
    <row r="130" spans="1:52" ht="30" customHeight="1" x14ac:dyDescent="0.3">
      <c r="A130" s="23" t="s">
        <v>845</v>
      </c>
      <c r="B130" s="23" t="s">
        <v>51</v>
      </c>
      <c r="C130" s="23" t="s">
        <v>132</v>
      </c>
      <c r="D130" s="24"/>
      <c r="E130" s="26"/>
      <c r="F130" s="29"/>
      <c r="G130" s="26"/>
      <c r="H130" s="29"/>
      <c r="I130" s="26"/>
      <c r="J130" s="29"/>
      <c r="K130" s="26"/>
      <c r="L130" s="29"/>
      <c r="M130" s="23" t="s">
        <v>846</v>
      </c>
      <c r="N130" s="2" t="s">
        <v>193</v>
      </c>
      <c r="O130" s="2" t="s">
        <v>847</v>
      </c>
      <c r="P130" s="2" t="s">
        <v>61</v>
      </c>
      <c r="Q130" s="2" t="s">
        <v>61</v>
      </c>
      <c r="R130" s="2" t="s">
        <v>60</v>
      </c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2" t="s">
        <v>51</v>
      </c>
      <c r="AW130" s="2" t="s">
        <v>848</v>
      </c>
      <c r="AX130" s="2" t="s">
        <v>51</v>
      </c>
      <c r="AY130" s="2" t="s">
        <v>51</v>
      </c>
      <c r="AZ130" s="2" t="s">
        <v>51</v>
      </c>
    </row>
    <row r="131" spans="1:52" ht="30" customHeight="1" x14ac:dyDescent="0.3">
      <c r="A131" s="23" t="s">
        <v>840</v>
      </c>
      <c r="B131" s="23" t="s">
        <v>624</v>
      </c>
      <c r="C131" s="23" t="s">
        <v>625</v>
      </c>
      <c r="D131" s="24"/>
      <c r="E131" s="26"/>
      <c r="F131" s="29"/>
      <c r="G131" s="26"/>
      <c r="H131" s="29"/>
      <c r="I131" s="26"/>
      <c r="J131" s="29"/>
      <c r="K131" s="26"/>
      <c r="L131" s="29"/>
      <c r="M131" s="23" t="s">
        <v>841</v>
      </c>
      <c r="N131" s="2" t="s">
        <v>193</v>
      </c>
      <c r="O131" s="2" t="s">
        <v>842</v>
      </c>
      <c r="P131" s="2" t="s">
        <v>61</v>
      </c>
      <c r="Q131" s="2" t="s">
        <v>61</v>
      </c>
      <c r="R131" s="2" t="s">
        <v>60</v>
      </c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2" t="s">
        <v>51</v>
      </c>
      <c r="AW131" s="2" t="s">
        <v>849</v>
      </c>
      <c r="AX131" s="2" t="s">
        <v>51</v>
      </c>
      <c r="AY131" s="2" t="s">
        <v>51</v>
      </c>
      <c r="AZ131" s="2" t="s">
        <v>51</v>
      </c>
    </row>
    <row r="132" spans="1:52" ht="30" customHeight="1" x14ac:dyDescent="0.3">
      <c r="A132" s="23" t="s">
        <v>608</v>
      </c>
      <c r="B132" s="23" t="s">
        <v>51</v>
      </c>
      <c r="C132" s="23" t="s">
        <v>51</v>
      </c>
      <c r="D132" s="24"/>
      <c r="E132" s="26"/>
      <c r="F132" s="29"/>
      <c r="G132" s="26"/>
      <c r="H132" s="29"/>
      <c r="I132" s="26"/>
      <c r="J132" s="29"/>
      <c r="K132" s="26"/>
      <c r="L132" s="29"/>
      <c r="M132" s="23" t="s">
        <v>51</v>
      </c>
      <c r="N132" s="2" t="s">
        <v>221</v>
      </c>
      <c r="O132" s="2" t="s">
        <v>221</v>
      </c>
      <c r="P132" s="2" t="s">
        <v>51</v>
      </c>
      <c r="Q132" s="2" t="s">
        <v>51</v>
      </c>
      <c r="R132" s="2" t="s">
        <v>51</v>
      </c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2" t="s">
        <v>51</v>
      </c>
      <c r="AW132" s="2" t="s">
        <v>51</v>
      </c>
      <c r="AX132" s="2" t="s">
        <v>51</v>
      </c>
      <c r="AY132" s="2" t="s">
        <v>51</v>
      </c>
      <c r="AZ132" s="2" t="s">
        <v>51</v>
      </c>
    </row>
    <row r="133" spans="1:52" ht="30" customHeight="1" x14ac:dyDescent="0.3">
      <c r="A133" s="24"/>
      <c r="B133" s="24"/>
      <c r="C133" s="24"/>
      <c r="D133" s="24"/>
      <c r="E133" s="26"/>
      <c r="F133" s="29"/>
      <c r="G133" s="26"/>
      <c r="H133" s="29"/>
      <c r="I133" s="26"/>
      <c r="J133" s="29"/>
      <c r="K133" s="26"/>
      <c r="L133" s="29"/>
      <c r="M133" s="24"/>
    </row>
    <row r="134" spans="1:52" ht="30" customHeight="1" x14ac:dyDescent="0.3">
      <c r="A134" s="20" t="s">
        <v>850</v>
      </c>
      <c r="B134" s="21"/>
      <c r="C134" s="21"/>
      <c r="D134" s="21"/>
      <c r="E134" s="25"/>
      <c r="F134" s="28"/>
      <c r="G134" s="25"/>
      <c r="H134" s="28"/>
      <c r="I134" s="25"/>
      <c r="J134" s="28"/>
      <c r="K134" s="25"/>
      <c r="L134" s="28"/>
      <c r="M134" s="22"/>
      <c r="N134" s="1" t="s">
        <v>143</v>
      </c>
    </row>
    <row r="135" spans="1:52" ht="30" customHeight="1" x14ac:dyDescent="0.3">
      <c r="A135" s="23" t="s">
        <v>851</v>
      </c>
      <c r="B135" s="23" t="s">
        <v>852</v>
      </c>
      <c r="C135" s="23" t="s">
        <v>132</v>
      </c>
      <c r="D135" s="24"/>
      <c r="E135" s="26"/>
      <c r="F135" s="29"/>
      <c r="G135" s="26"/>
      <c r="H135" s="29"/>
      <c r="I135" s="26"/>
      <c r="J135" s="29"/>
      <c r="K135" s="26"/>
      <c r="L135" s="29"/>
      <c r="M135" s="23" t="s">
        <v>853</v>
      </c>
      <c r="N135" s="2" t="s">
        <v>143</v>
      </c>
      <c r="O135" s="2" t="s">
        <v>854</v>
      </c>
      <c r="P135" s="2" t="s">
        <v>61</v>
      </c>
      <c r="Q135" s="2" t="s">
        <v>61</v>
      </c>
      <c r="R135" s="2" t="s">
        <v>60</v>
      </c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2" t="s">
        <v>51</v>
      </c>
      <c r="AW135" s="2" t="s">
        <v>855</v>
      </c>
      <c r="AX135" s="2" t="s">
        <v>51</v>
      </c>
      <c r="AY135" s="2" t="s">
        <v>51</v>
      </c>
      <c r="AZ135" s="2" t="s">
        <v>51</v>
      </c>
    </row>
    <row r="136" spans="1:52" ht="30" customHeight="1" x14ac:dyDescent="0.3">
      <c r="A136" s="23" t="s">
        <v>740</v>
      </c>
      <c r="B136" s="23" t="s">
        <v>624</v>
      </c>
      <c r="C136" s="23" t="s">
        <v>625</v>
      </c>
      <c r="D136" s="24"/>
      <c r="E136" s="26"/>
      <c r="F136" s="29"/>
      <c r="G136" s="26"/>
      <c r="H136" s="29"/>
      <c r="I136" s="26"/>
      <c r="J136" s="29"/>
      <c r="K136" s="26"/>
      <c r="L136" s="29"/>
      <c r="M136" s="23" t="s">
        <v>1897</v>
      </c>
      <c r="N136" s="2" t="s">
        <v>143</v>
      </c>
      <c r="O136" s="2" t="s">
        <v>742</v>
      </c>
      <c r="P136" s="2" t="s">
        <v>61</v>
      </c>
      <c r="Q136" s="2" t="s">
        <v>61</v>
      </c>
      <c r="R136" s="2" t="s">
        <v>60</v>
      </c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2" t="s">
        <v>51</v>
      </c>
      <c r="AW136" s="2" t="s">
        <v>856</v>
      </c>
      <c r="AX136" s="2" t="s">
        <v>51</v>
      </c>
      <c r="AY136" s="2" t="s">
        <v>51</v>
      </c>
      <c r="AZ136" s="2" t="s">
        <v>51</v>
      </c>
    </row>
    <row r="137" spans="1:52" ht="30" customHeight="1" x14ac:dyDescent="0.3">
      <c r="A137" s="23" t="s">
        <v>608</v>
      </c>
      <c r="B137" s="23" t="s">
        <v>51</v>
      </c>
      <c r="C137" s="23" t="s">
        <v>51</v>
      </c>
      <c r="D137" s="24"/>
      <c r="E137" s="26"/>
      <c r="F137" s="29"/>
      <c r="G137" s="26"/>
      <c r="H137" s="29"/>
      <c r="I137" s="26"/>
      <c r="J137" s="29"/>
      <c r="K137" s="26"/>
      <c r="L137" s="29"/>
      <c r="M137" s="23" t="s">
        <v>51</v>
      </c>
      <c r="N137" s="2" t="s">
        <v>221</v>
      </c>
      <c r="O137" s="2" t="s">
        <v>221</v>
      </c>
      <c r="P137" s="2" t="s">
        <v>51</v>
      </c>
      <c r="Q137" s="2" t="s">
        <v>51</v>
      </c>
      <c r="R137" s="2" t="s">
        <v>51</v>
      </c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2" t="s">
        <v>51</v>
      </c>
      <c r="AW137" s="2" t="s">
        <v>51</v>
      </c>
      <c r="AX137" s="2" t="s">
        <v>51</v>
      </c>
      <c r="AY137" s="2" t="s">
        <v>51</v>
      </c>
      <c r="AZ137" s="2" t="s">
        <v>51</v>
      </c>
    </row>
    <row r="138" spans="1:52" ht="30" customHeight="1" x14ac:dyDescent="0.3">
      <c r="A138" s="24"/>
      <c r="B138" s="24"/>
      <c r="C138" s="24"/>
      <c r="D138" s="24"/>
      <c r="E138" s="26"/>
      <c r="F138" s="29"/>
      <c r="G138" s="26"/>
      <c r="H138" s="29"/>
      <c r="I138" s="26"/>
      <c r="J138" s="29"/>
      <c r="K138" s="26"/>
      <c r="L138" s="29"/>
      <c r="M138" s="24"/>
    </row>
    <row r="139" spans="1:52" ht="30" customHeight="1" x14ac:dyDescent="0.3">
      <c r="A139" s="20" t="s">
        <v>857</v>
      </c>
      <c r="B139" s="21"/>
      <c r="C139" s="21"/>
      <c r="D139" s="21"/>
      <c r="E139" s="25"/>
      <c r="F139" s="28"/>
      <c r="G139" s="25"/>
      <c r="H139" s="28"/>
      <c r="I139" s="25"/>
      <c r="J139" s="28"/>
      <c r="K139" s="25"/>
      <c r="L139" s="28"/>
      <c r="M139" s="22"/>
      <c r="N139" s="1" t="s">
        <v>175</v>
      </c>
    </row>
    <row r="140" spans="1:52" ht="30" customHeight="1" x14ac:dyDescent="0.3">
      <c r="A140" s="23" t="s">
        <v>740</v>
      </c>
      <c r="B140" s="23" t="s">
        <v>624</v>
      </c>
      <c r="C140" s="23" t="s">
        <v>625</v>
      </c>
      <c r="D140" s="24"/>
      <c r="E140" s="26"/>
      <c r="F140" s="29"/>
      <c r="G140" s="26"/>
      <c r="H140" s="29"/>
      <c r="I140" s="26"/>
      <c r="J140" s="29"/>
      <c r="K140" s="26"/>
      <c r="L140" s="29"/>
      <c r="M140" s="23" t="s">
        <v>1897</v>
      </c>
      <c r="N140" s="2" t="s">
        <v>175</v>
      </c>
      <c r="O140" s="2" t="s">
        <v>742</v>
      </c>
      <c r="P140" s="2" t="s">
        <v>61</v>
      </c>
      <c r="Q140" s="2" t="s">
        <v>61</v>
      </c>
      <c r="R140" s="2" t="s">
        <v>60</v>
      </c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2" t="s">
        <v>51</v>
      </c>
      <c r="AW140" s="2" t="s">
        <v>858</v>
      </c>
      <c r="AX140" s="2" t="s">
        <v>51</v>
      </c>
      <c r="AY140" s="2" t="s">
        <v>51</v>
      </c>
      <c r="AZ140" s="2" t="s">
        <v>51</v>
      </c>
    </row>
    <row r="141" spans="1:52" ht="30" customHeight="1" x14ac:dyDescent="0.3">
      <c r="A141" s="23" t="s">
        <v>608</v>
      </c>
      <c r="B141" s="23" t="s">
        <v>51</v>
      </c>
      <c r="C141" s="23" t="s">
        <v>51</v>
      </c>
      <c r="D141" s="24"/>
      <c r="E141" s="26"/>
      <c r="F141" s="29"/>
      <c r="G141" s="26"/>
      <c r="H141" s="29"/>
      <c r="I141" s="26"/>
      <c r="J141" s="29"/>
      <c r="K141" s="26"/>
      <c r="L141" s="29"/>
      <c r="M141" s="23" t="s">
        <v>51</v>
      </c>
      <c r="N141" s="2" t="s">
        <v>221</v>
      </c>
      <c r="O141" s="2" t="s">
        <v>221</v>
      </c>
      <c r="P141" s="2" t="s">
        <v>51</v>
      </c>
      <c r="Q141" s="2" t="s">
        <v>51</v>
      </c>
      <c r="R141" s="2" t="s">
        <v>51</v>
      </c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2" t="s">
        <v>51</v>
      </c>
      <c r="AW141" s="2" t="s">
        <v>51</v>
      </c>
      <c r="AX141" s="2" t="s">
        <v>51</v>
      </c>
      <c r="AY141" s="2" t="s">
        <v>51</v>
      </c>
      <c r="AZ141" s="2" t="s">
        <v>51</v>
      </c>
    </row>
    <row r="142" spans="1:52" ht="30" customHeight="1" x14ac:dyDescent="0.3">
      <c r="A142" s="24"/>
      <c r="B142" s="24"/>
      <c r="C142" s="24"/>
      <c r="D142" s="24"/>
      <c r="E142" s="26"/>
      <c r="F142" s="29"/>
      <c r="G142" s="26"/>
      <c r="H142" s="29"/>
      <c r="I142" s="26"/>
      <c r="J142" s="29"/>
      <c r="K142" s="26"/>
      <c r="L142" s="29"/>
      <c r="M142" s="24"/>
    </row>
    <row r="143" spans="1:52" ht="30" customHeight="1" x14ac:dyDescent="0.3">
      <c r="A143" s="20" t="s">
        <v>859</v>
      </c>
      <c r="B143" s="21"/>
      <c r="C143" s="21"/>
      <c r="D143" s="21"/>
      <c r="E143" s="25"/>
      <c r="F143" s="28"/>
      <c r="G143" s="25"/>
      <c r="H143" s="28"/>
      <c r="I143" s="25"/>
      <c r="J143" s="28"/>
      <c r="K143" s="25"/>
      <c r="L143" s="28"/>
      <c r="M143" s="22"/>
      <c r="N143" s="1" t="s">
        <v>179</v>
      </c>
    </row>
    <row r="144" spans="1:52" ht="30" customHeight="1" x14ac:dyDescent="0.3">
      <c r="A144" s="23" t="s">
        <v>740</v>
      </c>
      <c r="B144" s="23" t="s">
        <v>624</v>
      </c>
      <c r="C144" s="23" t="s">
        <v>625</v>
      </c>
      <c r="D144" s="24"/>
      <c r="E144" s="26"/>
      <c r="F144" s="29"/>
      <c r="G144" s="26"/>
      <c r="H144" s="29"/>
      <c r="I144" s="26"/>
      <c r="J144" s="29"/>
      <c r="K144" s="26"/>
      <c r="L144" s="29"/>
      <c r="M144" s="23" t="s">
        <v>1897</v>
      </c>
      <c r="N144" s="2" t="s">
        <v>179</v>
      </c>
      <c r="O144" s="2" t="s">
        <v>742</v>
      </c>
      <c r="P144" s="2" t="s">
        <v>61</v>
      </c>
      <c r="Q144" s="2" t="s">
        <v>61</v>
      </c>
      <c r="R144" s="2" t="s">
        <v>60</v>
      </c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2" t="s">
        <v>51</v>
      </c>
      <c r="AW144" s="2" t="s">
        <v>860</v>
      </c>
      <c r="AX144" s="2" t="s">
        <v>51</v>
      </c>
      <c r="AY144" s="2" t="s">
        <v>51</v>
      </c>
      <c r="AZ144" s="2" t="s">
        <v>51</v>
      </c>
    </row>
    <row r="145" spans="1:52" ht="30" customHeight="1" x14ac:dyDescent="0.3">
      <c r="A145" s="23" t="s">
        <v>608</v>
      </c>
      <c r="B145" s="23" t="s">
        <v>51</v>
      </c>
      <c r="C145" s="23" t="s">
        <v>51</v>
      </c>
      <c r="D145" s="24"/>
      <c r="E145" s="26"/>
      <c r="F145" s="29"/>
      <c r="G145" s="26"/>
      <c r="H145" s="29"/>
      <c r="I145" s="26"/>
      <c r="J145" s="29"/>
      <c r="K145" s="26"/>
      <c r="L145" s="29"/>
      <c r="M145" s="23" t="s">
        <v>51</v>
      </c>
      <c r="N145" s="2" t="s">
        <v>221</v>
      </c>
      <c r="O145" s="2" t="s">
        <v>221</v>
      </c>
      <c r="P145" s="2" t="s">
        <v>51</v>
      </c>
      <c r="Q145" s="2" t="s">
        <v>51</v>
      </c>
      <c r="R145" s="2" t="s">
        <v>51</v>
      </c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2" t="s">
        <v>51</v>
      </c>
      <c r="AW145" s="2" t="s">
        <v>51</v>
      </c>
      <c r="AX145" s="2" t="s">
        <v>51</v>
      </c>
      <c r="AY145" s="2" t="s">
        <v>51</v>
      </c>
      <c r="AZ145" s="2" t="s">
        <v>51</v>
      </c>
    </row>
    <row r="146" spans="1:52" ht="30" customHeight="1" x14ac:dyDescent="0.3">
      <c r="A146" s="24"/>
      <c r="B146" s="24"/>
      <c r="C146" s="24"/>
      <c r="D146" s="24"/>
      <c r="E146" s="26"/>
      <c r="F146" s="29"/>
      <c r="G146" s="26"/>
      <c r="H146" s="29"/>
      <c r="I146" s="26"/>
      <c r="J146" s="29"/>
      <c r="K146" s="26"/>
      <c r="L146" s="29"/>
      <c r="M146" s="24"/>
    </row>
    <row r="147" spans="1:52" ht="30" customHeight="1" x14ac:dyDescent="0.3">
      <c r="A147" s="20" t="s">
        <v>861</v>
      </c>
      <c r="B147" s="21"/>
      <c r="C147" s="21"/>
      <c r="D147" s="21"/>
      <c r="E147" s="25"/>
      <c r="F147" s="28"/>
      <c r="G147" s="25"/>
      <c r="H147" s="28"/>
      <c r="I147" s="25"/>
      <c r="J147" s="28"/>
      <c r="K147" s="25"/>
      <c r="L147" s="28"/>
      <c r="M147" s="22"/>
      <c r="N147" s="1" t="s">
        <v>148</v>
      </c>
    </row>
    <row r="148" spans="1:52" ht="30" customHeight="1" x14ac:dyDescent="0.3">
      <c r="A148" s="23" t="s">
        <v>862</v>
      </c>
      <c r="B148" s="23" t="s">
        <v>820</v>
      </c>
      <c r="C148" s="23" t="s">
        <v>132</v>
      </c>
      <c r="D148" s="24"/>
      <c r="E148" s="26"/>
      <c r="F148" s="29"/>
      <c r="G148" s="26"/>
      <c r="H148" s="29"/>
      <c r="I148" s="26"/>
      <c r="J148" s="29"/>
      <c r="K148" s="26"/>
      <c r="L148" s="29"/>
      <c r="M148" s="23" t="s">
        <v>863</v>
      </c>
      <c r="N148" s="2" t="s">
        <v>148</v>
      </c>
      <c r="O148" s="2" t="s">
        <v>864</v>
      </c>
      <c r="P148" s="2" t="s">
        <v>61</v>
      </c>
      <c r="Q148" s="2" t="s">
        <v>61</v>
      </c>
      <c r="R148" s="2" t="s">
        <v>60</v>
      </c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2" t="s">
        <v>51</v>
      </c>
      <c r="AW148" s="2" t="s">
        <v>865</v>
      </c>
      <c r="AX148" s="2" t="s">
        <v>51</v>
      </c>
      <c r="AY148" s="2" t="s">
        <v>51</v>
      </c>
      <c r="AZ148" s="2" t="s">
        <v>51</v>
      </c>
    </row>
    <row r="149" spans="1:52" ht="30" customHeight="1" x14ac:dyDescent="0.3">
      <c r="A149" s="23" t="s">
        <v>740</v>
      </c>
      <c r="B149" s="23" t="s">
        <v>624</v>
      </c>
      <c r="C149" s="23" t="s">
        <v>625</v>
      </c>
      <c r="D149" s="24"/>
      <c r="E149" s="26"/>
      <c r="F149" s="29"/>
      <c r="G149" s="26"/>
      <c r="H149" s="29"/>
      <c r="I149" s="26"/>
      <c r="J149" s="29"/>
      <c r="K149" s="26"/>
      <c r="L149" s="29"/>
      <c r="M149" s="23" t="s">
        <v>1897</v>
      </c>
      <c r="N149" s="2" t="s">
        <v>148</v>
      </c>
      <c r="O149" s="2" t="s">
        <v>742</v>
      </c>
      <c r="P149" s="2" t="s">
        <v>61</v>
      </c>
      <c r="Q149" s="2" t="s">
        <v>61</v>
      </c>
      <c r="R149" s="2" t="s">
        <v>60</v>
      </c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2" t="s">
        <v>51</v>
      </c>
      <c r="AW149" s="2" t="s">
        <v>866</v>
      </c>
      <c r="AX149" s="2" t="s">
        <v>51</v>
      </c>
      <c r="AY149" s="2" t="s">
        <v>51</v>
      </c>
      <c r="AZ149" s="2" t="s">
        <v>51</v>
      </c>
    </row>
    <row r="150" spans="1:52" ht="30" customHeight="1" x14ac:dyDescent="0.3">
      <c r="A150" s="23" t="s">
        <v>608</v>
      </c>
      <c r="B150" s="23" t="s">
        <v>51</v>
      </c>
      <c r="C150" s="23" t="s">
        <v>51</v>
      </c>
      <c r="D150" s="24"/>
      <c r="E150" s="26"/>
      <c r="F150" s="29"/>
      <c r="G150" s="26"/>
      <c r="H150" s="29"/>
      <c r="I150" s="26"/>
      <c r="J150" s="29"/>
      <c r="K150" s="26"/>
      <c r="L150" s="29"/>
      <c r="M150" s="23" t="s">
        <v>51</v>
      </c>
      <c r="N150" s="2" t="s">
        <v>221</v>
      </c>
      <c r="O150" s="2" t="s">
        <v>221</v>
      </c>
      <c r="P150" s="2" t="s">
        <v>51</v>
      </c>
      <c r="Q150" s="2" t="s">
        <v>51</v>
      </c>
      <c r="R150" s="2" t="s">
        <v>51</v>
      </c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2" t="s">
        <v>51</v>
      </c>
      <c r="AW150" s="2" t="s">
        <v>51</v>
      </c>
      <c r="AX150" s="2" t="s">
        <v>51</v>
      </c>
      <c r="AY150" s="2" t="s">
        <v>51</v>
      </c>
      <c r="AZ150" s="2" t="s">
        <v>51</v>
      </c>
    </row>
    <row r="151" spans="1:52" ht="30" customHeight="1" x14ac:dyDescent="0.3">
      <c r="A151" s="24"/>
      <c r="B151" s="24"/>
      <c r="C151" s="24"/>
      <c r="D151" s="24"/>
      <c r="E151" s="26"/>
      <c r="F151" s="29"/>
      <c r="G151" s="26"/>
      <c r="H151" s="29"/>
      <c r="I151" s="26"/>
      <c r="J151" s="29"/>
      <c r="K151" s="26"/>
      <c r="L151" s="29"/>
      <c r="M151" s="24"/>
    </row>
    <row r="152" spans="1:52" ht="30" customHeight="1" x14ac:dyDescent="0.3">
      <c r="A152" s="20" t="s">
        <v>867</v>
      </c>
      <c r="B152" s="21"/>
      <c r="C152" s="21"/>
      <c r="D152" s="21"/>
      <c r="E152" s="25"/>
      <c r="F152" s="28"/>
      <c r="G152" s="25"/>
      <c r="H152" s="28"/>
      <c r="I152" s="25"/>
      <c r="J152" s="28"/>
      <c r="K152" s="25"/>
      <c r="L152" s="28"/>
      <c r="M152" s="22"/>
      <c r="N152" s="1" t="s">
        <v>153</v>
      </c>
    </row>
    <row r="153" spans="1:52" ht="30" customHeight="1" x14ac:dyDescent="0.3">
      <c r="A153" s="23" t="s">
        <v>869</v>
      </c>
      <c r="B153" s="23" t="s">
        <v>820</v>
      </c>
      <c r="C153" s="23" t="s">
        <v>132</v>
      </c>
      <c r="D153" s="24"/>
      <c r="E153" s="26"/>
      <c r="F153" s="29"/>
      <c r="G153" s="26"/>
      <c r="H153" s="29"/>
      <c r="I153" s="26"/>
      <c r="J153" s="29"/>
      <c r="K153" s="26"/>
      <c r="L153" s="29"/>
      <c r="M153" s="23" t="s">
        <v>870</v>
      </c>
      <c r="N153" s="2" t="s">
        <v>153</v>
      </c>
      <c r="O153" s="2" t="s">
        <v>871</v>
      </c>
      <c r="P153" s="2" t="s">
        <v>61</v>
      </c>
      <c r="Q153" s="2" t="s">
        <v>61</v>
      </c>
      <c r="R153" s="2" t="s">
        <v>60</v>
      </c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2" t="s">
        <v>51</v>
      </c>
      <c r="AW153" s="2" t="s">
        <v>872</v>
      </c>
      <c r="AX153" s="2" t="s">
        <v>51</v>
      </c>
      <c r="AY153" s="2" t="s">
        <v>51</v>
      </c>
      <c r="AZ153" s="2" t="s">
        <v>51</v>
      </c>
    </row>
    <row r="154" spans="1:52" ht="30" customHeight="1" x14ac:dyDescent="0.3">
      <c r="A154" s="23" t="s">
        <v>608</v>
      </c>
      <c r="B154" s="23" t="s">
        <v>51</v>
      </c>
      <c r="C154" s="23" t="s">
        <v>51</v>
      </c>
      <c r="D154" s="24"/>
      <c r="E154" s="26"/>
      <c r="F154" s="29"/>
      <c r="G154" s="26"/>
      <c r="H154" s="29"/>
      <c r="I154" s="26"/>
      <c r="J154" s="29"/>
      <c r="K154" s="26"/>
      <c r="L154" s="29"/>
      <c r="M154" s="23" t="s">
        <v>51</v>
      </c>
      <c r="N154" s="2" t="s">
        <v>221</v>
      </c>
      <c r="O154" s="2" t="s">
        <v>221</v>
      </c>
      <c r="P154" s="2" t="s">
        <v>51</v>
      </c>
      <c r="Q154" s="2" t="s">
        <v>51</v>
      </c>
      <c r="R154" s="2" t="s">
        <v>51</v>
      </c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2" t="s">
        <v>51</v>
      </c>
      <c r="AW154" s="2" t="s">
        <v>51</v>
      </c>
      <c r="AX154" s="2" t="s">
        <v>51</v>
      </c>
      <c r="AY154" s="2" t="s">
        <v>51</v>
      </c>
      <c r="AZ154" s="2" t="s">
        <v>51</v>
      </c>
    </row>
    <row r="155" spans="1:52" ht="30" customHeight="1" x14ac:dyDescent="0.3">
      <c r="A155" s="24"/>
      <c r="B155" s="24"/>
      <c r="C155" s="24"/>
      <c r="D155" s="24"/>
      <c r="E155" s="26"/>
      <c r="F155" s="29"/>
      <c r="G155" s="26"/>
      <c r="H155" s="29"/>
      <c r="I155" s="26"/>
      <c r="J155" s="29"/>
      <c r="K155" s="26"/>
      <c r="L155" s="29"/>
      <c r="M155" s="24"/>
    </row>
    <row r="156" spans="1:52" ht="30" customHeight="1" x14ac:dyDescent="0.3">
      <c r="A156" s="20" t="s">
        <v>873</v>
      </c>
      <c r="B156" s="21"/>
      <c r="C156" s="21"/>
      <c r="D156" s="21"/>
      <c r="E156" s="25"/>
      <c r="F156" s="28"/>
      <c r="G156" s="25"/>
      <c r="H156" s="28"/>
      <c r="I156" s="25"/>
      <c r="J156" s="28"/>
      <c r="K156" s="25"/>
      <c r="L156" s="28"/>
      <c r="M156" s="22"/>
      <c r="N156" s="1" t="s">
        <v>157</v>
      </c>
    </row>
    <row r="157" spans="1:52" ht="30" customHeight="1" x14ac:dyDescent="0.3">
      <c r="A157" s="23" t="s">
        <v>874</v>
      </c>
      <c r="B157" s="23" t="s">
        <v>820</v>
      </c>
      <c r="C157" s="23" t="s">
        <v>132</v>
      </c>
      <c r="D157" s="24"/>
      <c r="E157" s="26"/>
      <c r="F157" s="29"/>
      <c r="G157" s="26"/>
      <c r="H157" s="29"/>
      <c r="I157" s="26"/>
      <c r="J157" s="29"/>
      <c r="K157" s="26"/>
      <c r="L157" s="29"/>
      <c r="M157" s="23" t="s">
        <v>875</v>
      </c>
      <c r="N157" s="2" t="s">
        <v>157</v>
      </c>
      <c r="O157" s="2" t="s">
        <v>876</v>
      </c>
      <c r="P157" s="2" t="s">
        <v>61</v>
      </c>
      <c r="Q157" s="2" t="s">
        <v>61</v>
      </c>
      <c r="R157" s="2" t="s">
        <v>60</v>
      </c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2" t="s">
        <v>51</v>
      </c>
      <c r="AW157" s="2" t="s">
        <v>877</v>
      </c>
      <c r="AX157" s="2" t="s">
        <v>51</v>
      </c>
      <c r="AY157" s="2" t="s">
        <v>51</v>
      </c>
      <c r="AZ157" s="2" t="s">
        <v>51</v>
      </c>
    </row>
    <row r="158" spans="1:52" ht="30" customHeight="1" x14ac:dyDescent="0.3">
      <c r="A158" s="23" t="s">
        <v>608</v>
      </c>
      <c r="B158" s="23" t="s">
        <v>51</v>
      </c>
      <c r="C158" s="23" t="s">
        <v>51</v>
      </c>
      <c r="D158" s="24"/>
      <c r="E158" s="26"/>
      <c r="F158" s="29"/>
      <c r="G158" s="26"/>
      <c r="H158" s="29"/>
      <c r="I158" s="26"/>
      <c r="J158" s="29"/>
      <c r="K158" s="26"/>
      <c r="L158" s="29"/>
      <c r="M158" s="23" t="s">
        <v>51</v>
      </c>
      <c r="N158" s="2" t="s">
        <v>221</v>
      </c>
      <c r="O158" s="2" t="s">
        <v>221</v>
      </c>
      <c r="P158" s="2" t="s">
        <v>51</v>
      </c>
      <c r="Q158" s="2" t="s">
        <v>51</v>
      </c>
      <c r="R158" s="2" t="s">
        <v>51</v>
      </c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2" t="s">
        <v>51</v>
      </c>
      <c r="AW158" s="2" t="s">
        <v>51</v>
      </c>
      <c r="AX158" s="2" t="s">
        <v>51</v>
      </c>
      <c r="AY158" s="2" t="s">
        <v>51</v>
      </c>
      <c r="AZ158" s="2" t="s">
        <v>51</v>
      </c>
    </row>
    <row r="159" spans="1:52" ht="30" customHeight="1" x14ac:dyDescent="0.3">
      <c r="A159" s="24"/>
      <c r="B159" s="24"/>
      <c r="C159" s="24"/>
      <c r="D159" s="24"/>
      <c r="E159" s="26"/>
      <c r="F159" s="29"/>
      <c r="G159" s="26"/>
      <c r="H159" s="29"/>
      <c r="I159" s="26"/>
      <c r="J159" s="29"/>
      <c r="K159" s="26"/>
      <c r="L159" s="29"/>
      <c r="M159" s="24"/>
    </row>
    <row r="160" spans="1:52" ht="30" customHeight="1" x14ac:dyDescent="0.3">
      <c r="A160" s="20" t="s">
        <v>878</v>
      </c>
      <c r="B160" s="21"/>
      <c r="C160" s="21"/>
      <c r="D160" s="21"/>
      <c r="E160" s="25"/>
      <c r="F160" s="28"/>
      <c r="G160" s="25"/>
      <c r="H160" s="28"/>
      <c r="I160" s="25"/>
      <c r="J160" s="28"/>
      <c r="K160" s="25"/>
      <c r="L160" s="28"/>
      <c r="M160" s="22"/>
      <c r="N160" s="1" t="s">
        <v>162</v>
      </c>
    </row>
    <row r="161" spans="1:52" ht="30" customHeight="1" x14ac:dyDescent="0.3">
      <c r="A161" s="23" t="s">
        <v>740</v>
      </c>
      <c r="B161" s="23" t="s">
        <v>624</v>
      </c>
      <c r="C161" s="23" t="s">
        <v>625</v>
      </c>
      <c r="D161" s="24"/>
      <c r="E161" s="26"/>
      <c r="F161" s="29"/>
      <c r="G161" s="26"/>
      <c r="H161" s="29"/>
      <c r="I161" s="26"/>
      <c r="J161" s="29"/>
      <c r="K161" s="26"/>
      <c r="L161" s="29"/>
      <c r="M161" s="23" t="s">
        <v>1897</v>
      </c>
      <c r="N161" s="2" t="s">
        <v>162</v>
      </c>
      <c r="O161" s="2" t="s">
        <v>742</v>
      </c>
      <c r="P161" s="2" t="s">
        <v>61</v>
      </c>
      <c r="Q161" s="2" t="s">
        <v>61</v>
      </c>
      <c r="R161" s="2" t="s">
        <v>60</v>
      </c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2" t="s">
        <v>51</v>
      </c>
      <c r="AW161" s="2" t="s">
        <v>879</v>
      </c>
      <c r="AX161" s="2" t="s">
        <v>51</v>
      </c>
      <c r="AY161" s="2" t="s">
        <v>51</v>
      </c>
      <c r="AZ161" s="2" t="s">
        <v>51</v>
      </c>
    </row>
    <row r="162" spans="1:52" ht="30" customHeight="1" x14ac:dyDescent="0.3">
      <c r="A162" s="23" t="s">
        <v>608</v>
      </c>
      <c r="B162" s="23" t="s">
        <v>51</v>
      </c>
      <c r="C162" s="23" t="s">
        <v>51</v>
      </c>
      <c r="D162" s="24"/>
      <c r="E162" s="26"/>
      <c r="F162" s="29"/>
      <c r="G162" s="26"/>
      <c r="H162" s="29"/>
      <c r="I162" s="26"/>
      <c r="J162" s="29"/>
      <c r="K162" s="26"/>
      <c r="L162" s="29"/>
      <c r="M162" s="23" t="s">
        <v>51</v>
      </c>
      <c r="N162" s="2" t="s">
        <v>221</v>
      </c>
      <c r="O162" s="2" t="s">
        <v>221</v>
      </c>
      <c r="P162" s="2" t="s">
        <v>51</v>
      </c>
      <c r="Q162" s="2" t="s">
        <v>51</v>
      </c>
      <c r="R162" s="2" t="s">
        <v>51</v>
      </c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2" t="s">
        <v>51</v>
      </c>
      <c r="AW162" s="2" t="s">
        <v>51</v>
      </c>
      <c r="AX162" s="2" t="s">
        <v>51</v>
      </c>
      <c r="AY162" s="2" t="s">
        <v>51</v>
      </c>
      <c r="AZ162" s="2" t="s">
        <v>51</v>
      </c>
    </row>
    <row r="163" spans="1:52" ht="30" customHeight="1" x14ac:dyDescent="0.3">
      <c r="A163" s="24"/>
      <c r="B163" s="24"/>
      <c r="C163" s="24"/>
      <c r="D163" s="24"/>
      <c r="E163" s="26"/>
      <c r="F163" s="29"/>
      <c r="G163" s="26"/>
      <c r="H163" s="29"/>
      <c r="I163" s="26"/>
      <c r="J163" s="29"/>
      <c r="K163" s="26"/>
      <c r="L163" s="29"/>
      <c r="M163" s="24"/>
    </row>
    <row r="164" spans="1:52" ht="30" customHeight="1" x14ac:dyDescent="0.3">
      <c r="A164" s="20" t="s">
        <v>880</v>
      </c>
      <c r="B164" s="21"/>
      <c r="C164" s="21"/>
      <c r="D164" s="21"/>
      <c r="E164" s="25"/>
      <c r="F164" s="28"/>
      <c r="G164" s="25"/>
      <c r="H164" s="28"/>
      <c r="I164" s="25"/>
      <c r="J164" s="28"/>
      <c r="K164" s="25"/>
      <c r="L164" s="28"/>
      <c r="M164" s="22"/>
      <c r="N164" s="1" t="s">
        <v>166</v>
      </c>
    </row>
    <row r="165" spans="1:52" ht="30" customHeight="1" x14ac:dyDescent="0.3">
      <c r="A165" s="23" t="s">
        <v>740</v>
      </c>
      <c r="B165" s="23" t="s">
        <v>624</v>
      </c>
      <c r="C165" s="23" t="s">
        <v>625</v>
      </c>
      <c r="D165" s="24"/>
      <c r="E165" s="26"/>
      <c r="F165" s="29"/>
      <c r="G165" s="26"/>
      <c r="H165" s="29"/>
      <c r="I165" s="26"/>
      <c r="J165" s="29"/>
      <c r="K165" s="26"/>
      <c r="L165" s="29"/>
      <c r="M165" s="23" t="s">
        <v>1897</v>
      </c>
      <c r="N165" s="2" t="s">
        <v>166</v>
      </c>
      <c r="O165" s="2" t="s">
        <v>742</v>
      </c>
      <c r="P165" s="2" t="s">
        <v>61</v>
      </c>
      <c r="Q165" s="2" t="s">
        <v>61</v>
      </c>
      <c r="R165" s="2" t="s">
        <v>60</v>
      </c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2" t="s">
        <v>51</v>
      </c>
      <c r="AW165" s="2" t="s">
        <v>881</v>
      </c>
      <c r="AX165" s="2" t="s">
        <v>51</v>
      </c>
      <c r="AY165" s="2" t="s">
        <v>51</v>
      </c>
      <c r="AZ165" s="2" t="s">
        <v>51</v>
      </c>
    </row>
    <row r="166" spans="1:52" ht="30" customHeight="1" x14ac:dyDescent="0.3">
      <c r="A166" s="23" t="s">
        <v>608</v>
      </c>
      <c r="B166" s="23" t="s">
        <v>51</v>
      </c>
      <c r="C166" s="23" t="s">
        <v>51</v>
      </c>
      <c r="D166" s="24"/>
      <c r="E166" s="26"/>
      <c r="F166" s="29"/>
      <c r="G166" s="26"/>
      <c r="H166" s="29"/>
      <c r="I166" s="26"/>
      <c r="J166" s="29"/>
      <c r="K166" s="26"/>
      <c r="L166" s="29"/>
      <c r="M166" s="23" t="s">
        <v>51</v>
      </c>
      <c r="N166" s="2" t="s">
        <v>221</v>
      </c>
      <c r="O166" s="2" t="s">
        <v>221</v>
      </c>
      <c r="P166" s="2" t="s">
        <v>51</v>
      </c>
      <c r="Q166" s="2" t="s">
        <v>51</v>
      </c>
      <c r="R166" s="2" t="s">
        <v>51</v>
      </c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2" t="s">
        <v>51</v>
      </c>
      <c r="AW166" s="2" t="s">
        <v>51</v>
      </c>
      <c r="AX166" s="2" t="s">
        <v>51</v>
      </c>
      <c r="AY166" s="2" t="s">
        <v>51</v>
      </c>
      <c r="AZ166" s="2" t="s">
        <v>51</v>
      </c>
    </row>
    <row r="167" spans="1:52" ht="30" customHeight="1" x14ac:dyDescent="0.3">
      <c r="A167" s="24"/>
      <c r="B167" s="24"/>
      <c r="C167" s="24"/>
      <c r="D167" s="24"/>
      <c r="E167" s="26"/>
      <c r="F167" s="29"/>
      <c r="G167" s="26"/>
      <c r="H167" s="29"/>
      <c r="I167" s="26"/>
      <c r="J167" s="29"/>
      <c r="K167" s="26"/>
      <c r="L167" s="29"/>
      <c r="M167" s="24"/>
    </row>
    <row r="168" spans="1:52" ht="30" customHeight="1" x14ac:dyDescent="0.3">
      <c r="A168" s="20" t="s">
        <v>882</v>
      </c>
      <c r="B168" s="21"/>
      <c r="C168" s="21"/>
      <c r="D168" s="21"/>
      <c r="E168" s="25"/>
      <c r="F168" s="28"/>
      <c r="G168" s="25"/>
      <c r="H168" s="28"/>
      <c r="I168" s="25"/>
      <c r="J168" s="28"/>
      <c r="K168" s="25"/>
      <c r="L168" s="28"/>
      <c r="M168" s="22"/>
      <c r="N168" s="1" t="s">
        <v>124</v>
      </c>
    </row>
    <row r="169" spans="1:52" ht="30" customHeight="1" x14ac:dyDescent="0.3">
      <c r="A169" s="23" t="s">
        <v>884</v>
      </c>
      <c r="B169" s="23" t="s">
        <v>885</v>
      </c>
      <c r="C169" s="23" t="s">
        <v>187</v>
      </c>
      <c r="D169" s="24"/>
      <c r="E169" s="26"/>
      <c r="F169" s="29"/>
      <c r="G169" s="26"/>
      <c r="H169" s="29"/>
      <c r="I169" s="26"/>
      <c r="J169" s="29"/>
      <c r="K169" s="26"/>
      <c r="L169" s="29"/>
      <c r="M169" s="23" t="s">
        <v>886</v>
      </c>
      <c r="N169" s="2" t="s">
        <v>124</v>
      </c>
      <c r="O169" s="2" t="s">
        <v>887</v>
      </c>
      <c r="P169" s="2" t="s">
        <v>61</v>
      </c>
      <c r="Q169" s="2" t="s">
        <v>61</v>
      </c>
      <c r="R169" s="2" t="s">
        <v>60</v>
      </c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2" t="s">
        <v>51</v>
      </c>
      <c r="AW169" s="2" t="s">
        <v>888</v>
      </c>
      <c r="AX169" s="2" t="s">
        <v>51</v>
      </c>
      <c r="AY169" s="2" t="s">
        <v>51</v>
      </c>
      <c r="AZ169" s="2" t="s">
        <v>51</v>
      </c>
    </row>
    <row r="170" spans="1:52" ht="30" customHeight="1" x14ac:dyDescent="0.3">
      <c r="A170" s="23" t="s">
        <v>740</v>
      </c>
      <c r="B170" s="23" t="s">
        <v>624</v>
      </c>
      <c r="C170" s="23" t="s">
        <v>625</v>
      </c>
      <c r="D170" s="24"/>
      <c r="E170" s="26"/>
      <c r="F170" s="29"/>
      <c r="G170" s="26"/>
      <c r="H170" s="29"/>
      <c r="I170" s="26"/>
      <c r="J170" s="29"/>
      <c r="K170" s="26"/>
      <c r="L170" s="29"/>
      <c r="M170" s="23" t="s">
        <v>1897</v>
      </c>
      <c r="N170" s="2" t="s">
        <v>124</v>
      </c>
      <c r="O170" s="2" t="s">
        <v>742</v>
      </c>
      <c r="P170" s="2" t="s">
        <v>61</v>
      </c>
      <c r="Q170" s="2" t="s">
        <v>61</v>
      </c>
      <c r="R170" s="2" t="s">
        <v>60</v>
      </c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2" t="s">
        <v>51</v>
      </c>
      <c r="AW170" s="2" t="s">
        <v>889</v>
      </c>
      <c r="AX170" s="2" t="s">
        <v>51</v>
      </c>
      <c r="AY170" s="2" t="s">
        <v>51</v>
      </c>
      <c r="AZ170" s="2" t="s">
        <v>51</v>
      </c>
    </row>
    <row r="171" spans="1:52" ht="30" customHeight="1" x14ac:dyDescent="0.3">
      <c r="A171" s="23" t="s">
        <v>608</v>
      </c>
      <c r="B171" s="23" t="s">
        <v>51</v>
      </c>
      <c r="C171" s="23" t="s">
        <v>51</v>
      </c>
      <c r="D171" s="24"/>
      <c r="E171" s="26"/>
      <c r="F171" s="29"/>
      <c r="G171" s="26"/>
      <c r="H171" s="29"/>
      <c r="I171" s="26"/>
      <c r="J171" s="29"/>
      <c r="K171" s="26"/>
      <c r="L171" s="29"/>
      <c r="M171" s="23" t="s">
        <v>51</v>
      </c>
      <c r="N171" s="2" t="s">
        <v>221</v>
      </c>
      <c r="O171" s="2" t="s">
        <v>221</v>
      </c>
      <c r="P171" s="2" t="s">
        <v>51</v>
      </c>
      <c r="Q171" s="2" t="s">
        <v>51</v>
      </c>
      <c r="R171" s="2" t="s">
        <v>51</v>
      </c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2" t="s">
        <v>51</v>
      </c>
      <c r="AW171" s="2" t="s">
        <v>51</v>
      </c>
      <c r="AX171" s="2" t="s">
        <v>51</v>
      </c>
      <c r="AY171" s="2" t="s">
        <v>51</v>
      </c>
      <c r="AZ171" s="2" t="s">
        <v>51</v>
      </c>
    </row>
    <row r="172" spans="1:52" ht="30" customHeight="1" x14ac:dyDescent="0.3">
      <c r="A172" s="24"/>
      <c r="B172" s="24"/>
      <c r="C172" s="24"/>
      <c r="D172" s="24"/>
      <c r="E172" s="26"/>
      <c r="F172" s="29"/>
      <c r="G172" s="26"/>
      <c r="H172" s="29"/>
      <c r="I172" s="26"/>
      <c r="J172" s="29"/>
      <c r="K172" s="26"/>
      <c r="L172" s="29"/>
      <c r="M172" s="24"/>
    </row>
    <row r="173" spans="1:52" ht="30" customHeight="1" x14ac:dyDescent="0.3">
      <c r="A173" s="20" t="s">
        <v>890</v>
      </c>
      <c r="B173" s="21"/>
      <c r="C173" s="21"/>
      <c r="D173" s="21"/>
      <c r="E173" s="25"/>
      <c r="F173" s="28"/>
      <c r="G173" s="25"/>
      <c r="H173" s="28"/>
      <c r="I173" s="25"/>
      <c r="J173" s="28"/>
      <c r="K173" s="25"/>
      <c r="L173" s="28"/>
      <c r="M173" s="22"/>
      <c r="N173" s="1" t="s">
        <v>171</v>
      </c>
    </row>
    <row r="174" spans="1:52" ht="30" customHeight="1" x14ac:dyDescent="0.3">
      <c r="A174" s="23" t="s">
        <v>892</v>
      </c>
      <c r="B174" s="23" t="s">
        <v>893</v>
      </c>
      <c r="C174" s="23" t="s">
        <v>132</v>
      </c>
      <c r="D174" s="24"/>
      <c r="E174" s="26"/>
      <c r="F174" s="29"/>
      <c r="G174" s="26"/>
      <c r="H174" s="29"/>
      <c r="I174" s="26"/>
      <c r="J174" s="29"/>
      <c r="K174" s="26"/>
      <c r="L174" s="29"/>
      <c r="M174" s="23" t="s">
        <v>894</v>
      </c>
      <c r="N174" s="2" t="s">
        <v>171</v>
      </c>
      <c r="O174" s="2" t="s">
        <v>895</v>
      </c>
      <c r="P174" s="2" t="s">
        <v>61</v>
      </c>
      <c r="Q174" s="2" t="s">
        <v>61</v>
      </c>
      <c r="R174" s="2" t="s">
        <v>60</v>
      </c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2" t="s">
        <v>51</v>
      </c>
      <c r="AW174" s="2" t="s">
        <v>896</v>
      </c>
      <c r="AX174" s="2" t="s">
        <v>51</v>
      </c>
      <c r="AY174" s="2" t="s">
        <v>51</v>
      </c>
      <c r="AZ174" s="2" t="s">
        <v>51</v>
      </c>
    </row>
    <row r="175" spans="1:52" ht="30" customHeight="1" x14ac:dyDescent="0.3">
      <c r="A175" s="23" t="s">
        <v>897</v>
      </c>
      <c r="B175" s="23" t="s">
        <v>898</v>
      </c>
      <c r="C175" s="23" t="s">
        <v>132</v>
      </c>
      <c r="D175" s="24"/>
      <c r="E175" s="26"/>
      <c r="F175" s="29"/>
      <c r="G175" s="26"/>
      <c r="H175" s="29"/>
      <c r="I175" s="26"/>
      <c r="J175" s="29"/>
      <c r="K175" s="26"/>
      <c r="L175" s="29"/>
      <c r="M175" s="23" t="s">
        <v>899</v>
      </c>
      <c r="N175" s="2" t="s">
        <v>171</v>
      </c>
      <c r="O175" s="2" t="s">
        <v>900</v>
      </c>
      <c r="P175" s="2" t="s">
        <v>61</v>
      </c>
      <c r="Q175" s="2" t="s">
        <v>61</v>
      </c>
      <c r="R175" s="2" t="s">
        <v>60</v>
      </c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2" t="s">
        <v>51</v>
      </c>
      <c r="AW175" s="2" t="s">
        <v>901</v>
      </c>
      <c r="AX175" s="2" t="s">
        <v>51</v>
      </c>
      <c r="AY175" s="2" t="s">
        <v>51</v>
      </c>
      <c r="AZ175" s="2" t="s">
        <v>51</v>
      </c>
    </row>
    <row r="176" spans="1:52" ht="30" customHeight="1" x14ac:dyDescent="0.3">
      <c r="A176" s="23" t="s">
        <v>740</v>
      </c>
      <c r="B176" s="23" t="s">
        <v>624</v>
      </c>
      <c r="C176" s="23" t="s">
        <v>625</v>
      </c>
      <c r="D176" s="24"/>
      <c r="E176" s="26"/>
      <c r="F176" s="29"/>
      <c r="G176" s="26"/>
      <c r="H176" s="29"/>
      <c r="I176" s="26"/>
      <c r="J176" s="29"/>
      <c r="K176" s="26"/>
      <c r="L176" s="29"/>
      <c r="M176" s="23" t="s">
        <v>1897</v>
      </c>
      <c r="N176" s="2" t="s">
        <v>171</v>
      </c>
      <c r="O176" s="2" t="s">
        <v>742</v>
      </c>
      <c r="P176" s="2" t="s">
        <v>61</v>
      </c>
      <c r="Q176" s="2" t="s">
        <v>61</v>
      </c>
      <c r="R176" s="2" t="s">
        <v>60</v>
      </c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2" t="s">
        <v>51</v>
      </c>
      <c r="AW176" s="2" t="s">
        <v>902</v>
      </c>
      <c r="AX176" s="2" t="s">
        <v>51</v>
      </c>
      <c r="AY176" s="2" t="s">
        <v>51</v>
      </c>
      <c r="AZ176" s="2" t="s">
        <v>51</v>
      </c>
    </row>
    <row r="177" spans="1:53" ht="30" customHeight="1" x14ac:dyDescent="0.3">
      <c r="A177" s="23" t="s">
        <v>608</v>
      </c>
      <c r="B177" s="23" t="s">
        <v>51</v>
      </c>
      <c r="C177" s="23" t="s">
        <v>51</v>
      </c>
      <c r="D177" s="24"/>
      <c r="E177" s="26"/>
      <c r="F177" s="29"/>
      <c r="G177" s="26"/>
      <c r="H177" s="29"/>
      <c r="I177" s="26"/>
      <c r="J177" s="29"/>
      <c r="K177" s="26"/>
      <c r="L177" s="29"/>
      <c r="M177" s="23" t="s">
        <v>51</v>
      </c>
      <c r="N177" s="2" t="s">
        <v>221</v>
      </c>
      <c r="O177" s="2" t="s">
        <v>221</v>
      </c>
      <c r="P177" s="2" t="s">
        <v>51</v>
      </c>
      <c r="Q177" s="2" t="s">
        <v>51</v>
      </c>
      <c r="R177" s="2" t="s">
        <v>51</v>
      </c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2" t="s">
        <v>51</v>
      </c>
      <c r="AW177" s="2" t="s">
        <v>51</v>
      </c>
      <c r="AX177" s="2" t="s">
        <v>51</v>
      </c>
      <c r="AY177" s="2" t="s">
        <v>51</v>
      </c>
      <c r="AZ177" s="2" t="s">
        <v>51</v>
      </c>
    </row>
    <row r="178" spans="1:53" ht="30" customHeight="1" x14ac:dyDescent="0.3">
      <c r="A178" s="24"/>
      <c r="B178" s="24"/>
      <c r="C178" s="24"/>
      <c r="D178" s="24"/>
      <c r="E178" s="26"/>
      <c r="F178" s="29"/>
      <c r="G178" s="26"/>
      <c r="H178" s="29"/>
      <c r="I178" s="26"/>
      <c r="J178" s="29"/>
      <c r="K178" s="26"/>
      <c r="L178" s="29"/>
      <c r="M178" s="24"/>
    </row>
    <row r="179" spans="1:53" ht="30" customHeight="1" x14ac:dyDescent="0.3">
      <c r="A179" s="20" t="s">
        <v>903</v>
      </c>
      <c r="B179" s="21"/>
      <c r="C179" s="21"/>
      <c r="D179" s="21"/>
      <c r="E179" s="25"/>
      <c r="F179" s="28"/>
      <c r="G179" s="25"/>
      <c r="H179" s="28"/>
      <c r="I179" s="25"/>
      <c r="J179" s="28"/>
      <c r="K179" s="25"/>
      <c r="L179" s="28"/>
      <c r="M179" s="22"/>
      <c r="N179" s="1" t="s">
        <v>129</v>
      </c>
    </row>
    <row r="180" spans="1:53" ht="30" customHeight="1" x14ac:dyDescent="0.3">
      <c r="A180" s="23" t="s">
        <v>126</v>
      </c>
      <c r="B180" s="23" t="s">
        <v>905</v>
      </c>
      <c r="C180" s="23" t="s">
        <v>132</v>
      </c>
      <c r="D180" s="24"/>
      <c r="E180" s="26"/>
      <c r="F180" s="29"/>
      <c r="G180" s="26"/>
      <c r="H180" s="29"/>
      <c r="I180" s="26"/>
      <c r="J180" s="29"/>
      <c r="K180" s="26"/>
      <c r="L180" s="29"/>
      <c r="M180" s="23" t="s">
        <v>906</v>
      </c>
      <c r="N180" s="2" t="s">
        <v>129</v>
      </c>
      <c r="O180" s="2" t="s">
        <v>907</v>
      </c>
      <c r="P180" s="2" t="s">
        <v>61</v>
      </c>
      <c r="Q180" s="2" t="s">
        <v>61</v>
      </c>
      <c r="R180" s="2" t="s">
        <v>60</v>
      </c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2" t="s">
        <v>51</v>
      </c>
      <c r="AW180" s="2" t="s">
        <v>908</v>
      </c>
      <c r="AX180" s="2" t="s">
        <v>51</v>
      </c>
      <c r="AY180" s="2" t="s">
        <v>51</v>
      </c>
      <c r="AZ180" s="2" t="s">
        <v>51</v>
      </c>
    </row>
    <row r="181" spans="1:53" ht="30" customHeight="1" x14ac:dyDescent="0.3">
      <c r="A181" s="23" t="s">
        <v>740</v>
      </c>
      <c r="B181" s="23" t="s">
        <v>624</v>
      </c>
      <c r="C181" s="23" t="s">
        <v>625</v>
      </c>
      <c r="D181" s="24"/>
      <c r="E181" s="26"/>
      <c r="F181" s="29"/>
      <c r="G181" s="26"/>
      <c r="H181" s="29"/>
      <c r="I181" s="26"/>
      <c r="J181" s="29"/>
      <c r="K181" s="26"/>
      <c r="L181" s="29"/>
      <c r="M181" s="23" t="s">
        <v>1897</v>
      </c>
      <c r="N181" s="2" t="s">
        <v>129</v>
      </c>
      <c r="O181" s="2" t="s">
        <v>742</v>
      </c>
      <c r="P181" s="2" t="s">
        <v>61</v>
      </c>
      <c r="Q181" s="2" t="s">
        <v>61</v>
      </c>
      <c r="R181" s="2" t="s">
        <v>60</v>
      </c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2" t="s">
        <v>51</v>
      </c>
      <c r="AW181" s="2" t="s">
        <v>909</v>
      </c>
      <c r="AX181" s="2" t="s">
        <v>51</v>
      </c>
      <c r="AY181" s="2" t="s">
        <v>51</v>
      </c>
      <c r="AZ181" s="2" t="s">
        <v>51</v>
      </c>
    </row>
    <row r="182" spans="1:53" ht="30" customHeight="1" x14ac:dyDescent="0.3">
      <c r="A182" s="23" t="s">
        <v>608</v>
      </c>
      <c r="B182" s="23" t="s">
        <v>51</v>
      </c>
      <c r="C182" s="23" t="s">
        <v>51</v>
      </c>
      <c r="D182" s="24"/>
      <c r="E182" s="26"/>
      <c r="F182" s="29"/>
      <c r="G182" s="26"/>
      <c r="H182" s="29"/>
      <c r="I182" s="26"/>
      <c r="J182" s="29"/>
      <c r="K182" s="26"/>
      <c r="L182" s="29"/>
      <c r="M182" s="23" t="s">
        <v>51</v>
      </c>
      <c r="N182" s="2" t="s">
        <v>221</v>
      </c>
      <c r="O182" s="2" t="s">
        <v>221</v>
      </c>
      <c r="P182" s="2" t="s">
        <v>51</v>
      </c>
      <c r="Q182" s="2" t="s">
        <v>51</v>
      </c>
      <c r="R182" s="2" t="s">
        <v>51</v>
      </c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2" t="s">
        <v>51</v>
      </c>
      <c r="AW182" s="2" t="s">
        <v>51</v>
      </c>
      <c r="AX182" s="2" t="s">
        <v>51</v>
      </c>
      <c r="AY182" s="2" t="s">
        <v>51</v>
      </c>
      <c r="AZ182" s="2" t="s">
        <v>51</v>
      </c>
    </row>
    <row r="183" spans="1:53" ht="30" customHeight="1" x14ac:dyDescent="0.3">
      <c r="A183" s="24"/>
      <c r="B183" s="24"/>
      <c r="C183" s="24"/>
      <c r="D183" s="24"/>
      <c r="E183" s="26"/>
      <c r="F183" s="29"/>
      <c r="G183" s="26"/>
      <c r="H183" s="29"/>
      <c r="I183" s="26"/>
      <c r="J183" s="29"/>
      <c r="K183" s="26"/>
      <c r="L183" s="29"/>
      <c r="M183" s="24"/>
    </row>
    <row r="184" spans="1:53" ht="30" customHeight="1" x14ac:dyDescent="0.3">
      <c r="A184" s="20" t="s">
        <v>910</v>
      </c>
      <c r="B184" s="21"/>
      <c r="C184" s="21"/>
      <c r="D184" s="21"/>
      <c r="E184" s="25"/>
      <c r="F184" s="28"/>
      <c r="G184" s="25"/>
      <c r="H184" s="28"/>
      <c r="I184" s="25"/>
      <c r="J184" s="28"/>
      <c r="K184" s="25"/>
      <c r="L184" s="28"/>
      <c r="M184" s="22"/>
      <c r="N184" s="1" t="s">
        <v>184</v>
      </c>
    </row>
    <row r="185" spans="1:53" ht="30" customHeight="1" x14ac:dyDescent="0.3">
      <c r="A185" s="23" t="s">
        <v>912</v>
      </c>
      <c r="B185" s="23" t="s">
        <v>913</v>
      </c>
      <c r="C185" s="23" t="s">
        <v>132</v>
      </c>
      <c r="D185" s="24"/>
      <c r="E185" s="26"/>
      <c r="F185" s="29"/>
      <c r="G185" s="26"/>
      <c r="H185" s="29"/>
      <c r="I185" s="26"/>
      <c r="J185" s="29"/>
      <c r="K185" s="26"/>
      <c r="L185" s="29"/>
      <c r="M185" s="23" t="s">
        <v>914</v>
      </c>
      <c r="N185" s="2" t="s">
        <v>184</v>
      </c>
      <c r="O185" s="2" t="s">
        <v>915</v>
      </c>
      <c r="P185" s="2" t="s">
        <v>61</v>
      </c>
      <c r="Q185" s="2" t="s">
        <v>61</v>
      </c>
      <c r="R185" s="2" t="s">
        <v>60</v>
      </c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2" t="s">
        <v>51</v>
      </c>
      <c r="AW185" s="2" t="s">
        <v>916</v>
      </c>
      <c r="AX185" s="2" t="s">
        <v>51</v>
      </c>
      <c r="AY185" s="2" t="s">
        <v>51</v>
      </c>
      <c r="AZ185" s="2" t="s">
        <v>51</v>
      </c>
    </row>
    <row r="186" spans="1:53" ht="30" customHeight="1" x14ac:dyDescent="0.3">
      <c r="A186" s="23" t="s">
        <v>912</v>
      </c>
      <c r="B186" s="23" t="s">
        <v>917</v>
      </c>
      <c r="C186" s="23" t="s">
        <v>132</v>
      </c>
      <c r="D186" s="24"/>
      <c r="E186" s="26"/>
      <c r="F186" s="29"/>
      <c r="G186" s="26"/>
      <c r="H186" s="29"/>
      <c r="I186" s="26"/>
      <c r="J186" s="29"/>
      <c r="K186" s="26"/>
      <c r="L186" s="29"/>
      <c r="M186" s="23" t="s">
        <v>918</v>
      </c>
      <c r="N186" s="2" t="s">
        <v>184</v>
      </c>
      <c r="O186" s="2" t="s">
        <v>919</v>
      </c>
      <c r="P186" s="2" t="s">
        <v>61</v>
      </c>
      <c r="Q186" s="2" t="s">
        <v>61</v>
      </c>
      <c r="R186" s="2" t="s">
        <v>60</v>
      </c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2" t="s">
        <v>51</v>
      </c>
      <c r="AW186" s="2" t="s">
        <v>920</v>
      </c>
      <c r="AX186" s="2" t="s">
        <v>51</v>
      </c>
      <c r="AY186" s="2" t="s">
        <v>51</v>
      </c>
      <c r="AZ186" s="2" t="s">
        <v>51</v>
      </c>
    </row>
    <row r="187" spans="1:53" ht="30" customHeight="1" x14ac:dyDescent="0.3">
      <c r="A187" s="23" t="s">
        <v>740</v>
      </c>
      <c r="B187" s="23" t="s">
        <v>624</v>
      </c>
      <c r="C187" s="23" t="s">
        <v>625</v>
      </c>
      <c r="D187" s="24"/>
      <c r="E187" s="26"/>
      <c r="F187" s="29"/>
      <c r="G187" s="26"/>
      <c r="H187" s="29"/>
      <c r="I187" s="26"/>
      <c r="J187" s="29"/>
      <c r="K187" s="26"/>
      <c r="L187" s="29"/>
      <c r="M187" s="23" t="s">
        <v>1897</v>
      </c>
      <c r="N187" s="2" t="s">
        <v>184</v>
      </c>
      <c r="O187" s="2" t="s">
        <v>742</v>
      </c>
      <c r="P187" s="2" t="s">
        <v>61</v>
      </c>
      <c r="Q187" s="2" t="s">
        <v>61</v>
      </c>
      <c r="R187" s="2" t="s">
        <v>60</v>
      </c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2" t="s">
        <v>51</v>
      </c>
      <c r="AW187" s="2" t="s">
        <v>921</v>
      </c>
      <c r="AX187" s="2" t="s">
        <v>51</v>
      </c>
      <c r="AY187" s="2" t="s">
        <v>51</v>
      </c>
      <c r="AZ187" s="2" t="s">
        <v>51</v>
      </c>
    </row>
    <row r="188" spans="1:53" ht="30" customHeight="1" x14ac:dyDescent="0.3">
      <c r="A188" s="23" t="s">
        <v>608</v>
      </c>
      <c r="B188" s="23" t="s">
        <v>51</v>
      </c>
      <c r="C188" s="23" t="s">
        <v>51</v>
      </c>
      <c r="D188" s="24"/>
      <c r="E188" s="26"/>
      <c r="F188" s="29"/>
      <c r="G188" s="26"/>
      <c r="H188" s="29"/>
      <c r="I188" s="26"/>
      <c r="J188" s="29"/>
      <c r="K188" s="26"/>
      <c r="L188" s="29"/>
      <c r="M188" s="23" t="s">
        <v>51</v>
      </c>
      <c r="N188" s="2" t="s">
        <v>221</v>
      </c>
      <c r="O188" s="2" t="s">
        <v>221</v>
      </c>
      <c r="P188" s="2" t="s">
        <v>51</v>
      </c>
      <c r="Q188" s="2" t="s">
        <v>51</v>
      </c>
      <c r="R188" s="2" t="s">
        <v>51</v>
      </c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2" t="s">
        <v>51</v>
      </c>
      <c r="AW188" s="2" t="s">
        <v>51</v>
      </c>
      <c r="AX188" s="2" t="s">
        <v>51</v>
      </c>
      <c r="AY188" s="2" t="s">
        <v>51</v>
      </c>
      <c r="AZ188" s="2" t="s">
        <v>51</v>
      </c>
    </row>
    <row r="189" spans="1:53" ht="30" customHeight="1" x14ac:dyDescent="0.3">
      <c r="A189" s="24"/>
      <c r="B189" s="24"/>
      <c r="C189" s="24"/>
      <c r="D189" s="24"/>
      <c r="E189" s="26"/>
      <c r="F189" s="29"/>
      <c r="G189" s="26"/>
      <c r="H189" s="29"/>
      <c r="I189" s="26"/>
      <c r="J189" s="29"/>
      <c r="K189" s="26"/>
      <c r="L189" s="29"/>
      <c r="M189" s="24"/>
    </row>
    <row r="190" spans="1:53" ht="30" customHeight="1" x14ac:dyDescent="0.3">
      <c r="A190" s="20" t="s">
        <v>1851</v>
      </c>
      <c r="B190" s="21"/>
      <c r="C190" s="21"/>
      <c r="D190" s="21"/>
      <c r="E190" s="25"/>
      <c r="F190" s="28"/>
      <c r="G190" s="25"/>
      <c r="H190" s="28"/>
      <c r="I190" s="25"/>
      <c r="J190" s="28"/>
      <c r="K190" s="25"/>
      <c r="L190" s="28"/>
      <c r="M190" s="22"/>
      <c r="N190" s="87" t="s">
        <v>95</v>
      </c>
    </row>
    <row r="191" spans="1:53" ht="30" customHeight="1" x14ac:dyDescent="0.3">
      <c r="A191" s="23" t="s">
        <v>1852</v>
      </c>
      <c r="B191" s="23" t="s">
        <v>768</v>
      </c>
      <c r="C191" s="23" t="s">
        <v>769</v>
      </c>
      <c r="D191" s="24"/>
      <c r="E191" s="26"/>
      <c r="F191" s="29"/>
      <c r="G191" s="26"/>
      <c r="H191" s="29"/>
      <c r="I191" s="26"/>
      <c r="J191" s="29"/>
      <c r="K191" s="26"/>
      <c r="L191" s="29"/>
      <c r="M191" s="23" t="s">
        <v>770</v>
      </c>
      <c r="N191" s="2" t="s">
        <v>95</v>
      </c>
      <c r="O191" s="2" t="s">
        <v>771</v>
      </c>
      <c r="P191" s="2" t="s">
        <v>61</v>
      </c>
      <c r="Q191" s="2" t="s">
        <v>61</v>
      </c>
      <c r="R191" s="2" t="s">
        <v>60</v>
      </c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2" t="s">
        <v>51</v>
      </c>
      <c r="AW191" s="2" t="s">
        <v>772</v>
      </c>
      <c r="AX191" s="2" t="s">
        <v>51</v>
      </c>
      <c r="AY191" s="2" t="s">
        <v>51</v>
      </c>
      <c r="AZ191" s="2" t="s">
        <v>51</v>
      </c>
      <c r="BA191" t="s">
        <v>1872</v>
      </c>
    </row>
    <row r="192" spans="1:53" ht="30" customHeight="1" x14ac:dyDescent="0.3">
      <c r="A192" s="23" t="s">
        <v>1879</v>
      </c>
      <c r="B192" s="23" t="s">
        <v>624</v>
      </c>
      <c r="C192" s="23" t="s">
        <v>625</v>
      </c>
      <c r="D192" s="24"/>
      <c r="E192" s="26"/>
      <c r="F192" s="29"/>
      <c r="G192" s="26"/>
      <c r="H192" s="29"/>
      <c r="I192" s="26"/>
      <c r="J192" s="29"/>
      <c r="K192" s="26"/>
      <c r="L192" s="29"/>
      <c r="M192" s="23" t="s">
        <v>1898</v>
      </c>
      <c r="N192" s="2" t="s">
        <v>65</v>
      </c>
      <c r="O192" s="2" t="s">
        <v>742</v>
      </c>
      <c r="P192" s="2" t="s">
        <v>61</v>
      </c>
      <c r="Q192" s="2" t="s">
        <v>61</v>
      </c>
      <c r="R192" s="2" t="s">
        <v>60</v>
      </c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2" t="s">
        <v>51</v>
      </c>
      <c r="AW192" s="2" t="s">
        <v>804</v>
      </c>
      <c r="AX192" s="2" t="s">
        <v>51</v>
      </c>
      <c r="AY192" s="2" t="s">
        <v>51</v>
      </c>
      <c r="AZ192" s="2" t="s">
        <v>51</v>
      </c>
    </row>
    <row r="193" spans="1:53" ht="30" customHeight="1" x14ac:dyDescent="0.3">
      <c r="A193" s="23" t="s">
        <v>1880</v>
      </c>
      <c r="B193" s="23" t="s">
        <v>624</v>
      </c>
      <c r="C193" s="23" t="s">
        <v>625</v>
      </c>
      <c r="D193" s="24"/>
      <c r="E193" s="26"/>
      <c r="F193" s="29"/>
      <c r="G193" s="26"/>
      <c r="H193" s="29"/>
      <c r="I193" s="26"/>
      <c r="J193" s="29"/>
      <c r="K193" s="26"/>
      <c r="L193" s="29"/>
      <c r="M193" s="23" t="s">
        <v>1892</v>
      </c>
      <c r="N193" s="2" t="s">
        <v>65</v>
      </c>
      <c r="O193" s="2" t="s">
        <v>742</v>
      </c>
      <c r="P193" s="2" t="s">
        <v>61</v>
      </c>
      <c r="Q193" s="2" t="s">
        <v>61</v>
      </c>
      <c r="R193" s="2" t="s">
        <v>60</v>
      </c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2" t="s">
        <v>51</v>
      </c>
      <c r="AW193" s="2" t="s">
        <v>804</v>
      </c>
      <c r="AX193" s="2" t="s">
        <v>51</v>
      </c>
      <c r="AY193" s="2" t="s">
        <v>51</v>
      </c>
      <c r="AZ193" s="2" t="s">
        <v>51</v>
      </c>
    </row>
    <row r="194" spans="1:53" ht="30" customHeight="1" x14ac:dyDescent="0.3">
      <c r="A194" s="23" t="s">
        <v>1881</v>
      </c>
      <c r="B194" s="23" t="s">
        <v>624</v>
      </c>
      <c r="C194" s="23" t="s">
        <v>625</v>
      </c>
      <c r="D194" s="24"/>
      <c r="E194" s="26"/>
      <c r="F194" s="29"/>
      <c r="G194" s="26"/>
      <c r="H194" s="29"/>
      <c r="I194" s="26"/>
      <c r="J194" s="29"/>
      <c r="K194" s="26"/>
      <c r="L194" s="29"/>
      <c r="M194" s="23" t="s">
        <v>630</v>
      </c>
      <c r="N194" s="2" t="s">
        <v>65</v>
      </c>
      <c r="O194" s="2" t="s">
        <v>742</v>
      </c>
      <c r="P194" s="2" t="s">
        <v>61</v>
      </c>
      <c r="Q194" s="2" t="s">
        <v>61</v>
      </c>
      <c r="R194" s="2" t="s">
        <v>60</v>
      </c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2" t="s">
        <v>51</v>
      </c>
      <c r="AW194" s="2" t="s">
        <v>804</v>
      </c>
      <c r="AX194" s="2" t="s">
        <v>51</v>
      </c>
      <c r="AY194" s="2" t="s">
        <v>51</v>
      </c>
      <c r="AZ194" s="2" t="s">
        <v>51</v>
      </c>
    </row>
    <row r="195" spans="1:53" ht="30" customHeight="1" x14ac:dyDescent="0.3">
      <c r="A195" s="23" t="s">
        <v>1882</v>
      </c>
      <c r="B195" s="23" t="s">
        <v>624</v>
      </c>
      <c r="C195" s="23" t="s">
        <v>625</v>
      </c>
      <c r="D195" s="24"/>
      <c r="E195" s="26"/>
      <c r="F195" s="29"/>
      <c r="G195" s="26"/>
      <c r="H195" s="29"/>
      <c r="I195" s="26"/>
      <c r="J195" s="29"/>
      <c r="K195" s="26"/>
      <c r="L195" s="29"/>
      <c r="M195" s="23" t="s">
        <v>1899</v>
      </c>
      <c r="N195" s="2" t="s">
        <v>65</v>
      </c>
      <c r="O195" s="2" t="s">
        <v>742</v>
      </c>
      <c r="P195" s="2" t="s">
        <v>61</v>
      </c>
      <c r="Q195" s="2" t="s">
        <v>61</v>
      </c>
      <c r="R195" s="2" t="s">
        <v>60</v>
      </c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2" t="s">
        <v>51</v>
      </c>
      <c r="AW195" s="2" t="s">
        <v>804</v>
      </c>
      <c r="AX195" s="2" t="s">
        <v>51</v>
      </c>
      <c r="AY195" s="2" t="s">
        <v>51</v>
      </c>
      <c r="AZ195" s="2" t="s">
        <v>51</v>
      </c>
    </row>
    <row r="196" spans="1:53" ht="30" customHeight="1" x14ac:dyDescent="0.3">
      <c r="A196" s="23" t="s">
        <v>1883</v>
      </c>
      <c r="B196" s="23" t="s">
        <v>624</v>
      </c>
      <c r="C196" s="23" t="s">
        <v>625</v>
      </c>
      <c r="D196" s="24"/>
      <c r="E196" s="26"/>
      <c r="F196" s="29"/>
      <c r="G196" s="26"/>
      <c r="H196" s="29"/>
      <c r="I196" s="26"/>
      <c r="J196" s="29"/>
      <c r="K196" s="26"/>
      <c r="L196" s="29"/>
      <c r="M196" s="23" t="s">
        <v>630</v>
      </c>
      <c r="N196" s="2" t="s">
        <v>65</v>
      </c>
      <c r="O196" s="2" t="s">
        <v>742</v>
      </c>
      <c r="P196" s="2" t="s">
        <v>61</v>
      </c>
      <c r="Q196" s="2" t="s">
        <v>61</v>
      </c>
      <c r="R196" s="2" t="s">
        <v>60</v>
      </c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2" t="s">
        <v>51</v>
      </c>
      <c r="AW196" s="2" t="s">
        <v>804</v>
      </c>
      <c r="AX196" s="2" t="s">
        <v>51</v>
      </c>
      <c r="AY196" s="2" t="s">
        <v>51</v>
      </c>
      <c r="AZ196" s="2" t="s">
        <v>51</v>
      </c>
    </row>
    <row r="197" spans="1:53" ht="30" customHeight="1" x14ac:dyDescent="0.3">
      <c r="A197" s="23" t="s">
        <v>1882</v>
      </c>
      <c r="B197" s="23" t="s">
        <v>624</v>
      </c>
      <c r="C197" s="23" t="s">
        <v>625</v>
      </c>
      <c r="D197" s="24"/>
      <c r="E197" s="26"/>
      <c r="F197" s="29"/>
      <c r="G197" s="26"/>
      <c r="H197" s="29"/>
      <c r="I197" s="26"/>
      <c r="J197" s="29"/>
      <c r="K197" s="26"/>
      <c r="L197" s="29"/>
      <c r="M197" s="23" t="s">
        <v>741</v>
      </c>
      <c r="N197" s="2" t="s">
        <v>65</v>
      </c>
      <c r="O197" s="2" t="s">
        <v>742</v>
      </c>
      <c r="P197" s="2" t="s">
        <v>61</v>
      </c>
      <c r="Q197" s="2" t="s">
        <v>61</v>
      </c>
      <c r="R197" s="2" t="s">
        <v>60</v>
      </c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2" t="s">
        <v>51</v>
      </c>
      <c r="AW197" s="2" t="s">
        <v>804</v>
      </c>
      <c r="AX197" s="2" t="s">
        <v>51</v>
      </c>
      <c r="AY197" s="2" t="s">
        <v>51</v>
      </c>
      <c r="AZ197" s="2" t="s">
        <v>51</v>
      </c>
    </row>
    <row r="198" spans="1:53" ht="30" customHeight="1" x14ac:dyDescent="0.3">
      <c r="A198" s="23" t="s">
        <v>1883</v>
      </c>
      <c r="B198" s="23" t="s">
        <v>624</v>
      </c>
      <c r="C198" s="23" t="s">
        <v>625</v>
      </c>
      <c r="D198" s="24"/>
      <c r="E198" s="26"/>
      <c r="F198" s="29"/>
      <c r="G198" s="26"/>
      <c r="H198" s="29"/>
      <c r="I198" s="26"/>
      <c r="J198" s="29"/>
      <c r="K198" s="26"/>
      <c r="L198" s="29"/>
      <c r="M198" s="23" t="s">
        <v>630</v>
      </c>
      <c r="N198" s="2" t="s">
        <v>65</v>
      </c>
      <c r="O198" s="2" t="s">
        <v>742</v>
      </c>
      <c r="P198" s="2" t="s">
        <v>61</v>
      </c>
      <c r="Q198" s="2" t="s">
        <v>61</v>
      </c>
      <c r="R198" s="2" t="s">
        <v>60</v>
      </c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2" t="s">
        <v>51</v>
      </c>
      <c r="AW198" s="2" t="s">
        <v>804</v>
      </c>
      <c r="AX198" s="2" t="s">
        <v>51</v>
      </c>
      <c r="AY198" s="2" t="s">
        <v>51</v>
      </c>
      <c r="AZ198" s="2" t="s">
        <v>51</v>
      </c>
    </row>
    <row r="199" spans="1:53" ht="30" customHeight="1" x14ac:dyDescent="0.3">
      <c r="A199" s="23" t="s">
        <v>608</v>
      </c>
      <c r="B199" s="23" t="s">
        <v>51</v>
      </c>
      <c r="C199" s="23" t="s">
        <v>51</v>
      </c>
      <c r="D199" s="24"/>
      <c r="E199" s="26"/>
      <c r="F199" s="29"/>
      <c r="G199" s="26"/>
      <c r="H199" s="29"/>
      <c r="I199" s="26"/>
      <c r="J199" s="29"/>
      <c r="K199" s="26"/>
      <c r="L199" s="29"/>
      <c r="M199" s="23" t="s">
        <v>51</v>
      </c>
      <c r="N199" s="2" t="s">
        <v>221</v>
      </c>
      <c r="O199" s="2" t="s">
        <v>221</v>
      </c>
      <c r="P199" s="2" t="s">
        <v>51</v>
      </c>
      <c r="Q199" s="2" t="s">
        <v>51</v>
      </c>
      <c r="R199" s="2" t="s">
        <v>51</v>
      </c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2" t="s">
        <v>51</v>
      </c>
      <c r="AW199" s="2" t="s">
        <v>51</v>
      </c>
      <c r="AX199" s="2" t="s">
        <v>51</v>
      </c>
      <c r="AY199" s="2" t="s">
        <v>51</v>
      </c>
      <c r="AZ199" s="2" t="s">
        <v>51</v>
      </c>
      <c r="BA199" t="s">
        <v>1873</v>
      </c>
    </row>
  </sheetData>
  <mergeCells count="45">
    <mergeCell ref="AU2:AU3"/>
    <mergeCell ref="AV2:AV3"/>
    <mergeCell ref="AW2:AW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4"/>
  <sheetViews>
    <sheetView topLeftCell="B7" workbookViewId="0">
      <selection activeCell="B23" sqref="A23:XFD24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5" width="12.625" customWidth="1"/>
    <col min="6" max="6" width="13.625" customWidth="1"/>
    <col min="7" max="7" width="4.625" customWidth="1"/>
    <col min="8" max="10" width="10.625" customWidth="1"/>
    <col min="11" max="11" width="13.625" customWidth="1"/>
    <col min="12" max="12" width="30.625" customWidth="1"/>
    <col min="13" max="14" width="13.625" customWidth="1"/>
    <col min="15" max="15" width="8.625" customWidth="1"/>
    <col min="16" max="16" width="12.625" customWidth="1"/>
    <col min="17" max="18" width="11.625" hidden="1" customWidth="1"/>
    <col min="19" max="19" width="13.625" hidden="1" customWidth="1"/>
    <col min="20" max="20" width="24.625" hidden="1" customWidth="1"/>
    <col min="21" max="24" width="0" hidden="1" customWidth="1"/>
  </cols>
  <sheetData>
    <row r="1" spans="1:23" ht="30" customHeight="1" x14ac:dyDescent="0.3">
      <c r="A1" s="106" t="s">
        <v>1123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</row>
    <row r="2" spans="1:23" ht="30" customHeight="1" x14ac:dyDescent="0.3">
      <c r="A2" s="107" t="s">
        <v>1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</row>
    <row r="3" spans="1:23" ht="30" customHeight="1" x14ac:dyDescent="0.3">
      <c r="A3" s="35" t="s">
        <v>576</v>
      </c>
      <c r="B3" s="35" t="s">
        <v>2</v>
      </c>
      <c r="C3" s="35" t="s">
        <v>3</v>
      </c>
      <c r="D3" s="35" t="s">
        <v>4</v>
      </c>
      <c r="E3" s="35" t="s">
        <v>1124</v>
      </c>
      <c r="F3" s="35" t="s">
        <v>1125</v>
      </c>
      <c r="G3" s="35" t="s">
        <v>584</v>
      </c>
      <c r="H3" s="35" t="s">
        <v>1126</v>
      </c>
      <c r="I3" s="35" t="s">
        <v>1127</v>
      </c>
      <c r="J3" s="35" t="s">
        <v>1128</v>
      </c>
      <c r="K3" s="35" t="s">
        <v>1129</v>
      </c>
      <c r="L3" s="35" t="s">
        <v>1130</v>
      </c>
      <c r="M3" s="35" t="s">
        <v>1131</v>
      </c>
      <c r="N3" s="35" t="s">
        <v>1132</v>
      </c>
      <c r="O3" s="35" t="s">
        <v>581</v>
      </c>
      <c r="P3" s="35" t="s">
        <v>1133</v>
      </c>
      <c r="Q3" s="9" t="s">
        <v>51</v>
      </c>
      <c r="R3" s="9" t="s">
        <v>51</v>
      </c>
      <c r="S3" s="9" t="s">
        <v>51</v>
      </c>
      <c r="T3" s="9" t="s">
        <v>49</v>
      </c>
      <c r="V3" t="s">
        <v>740</v>
      </c>
      <c r="W3" t="s">
        <v>813</v>
      </c>
    </row>
    <row r="4" spans="1:23" ht="30" customHeight="1" x14ac:dyDescent="0.3">
      <c r="A4" s="36"/>
      <c r="B4" s="116" t="s">
        <v>1134</v>
      </c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</row>
    <row r="5" spans="1:23" ht="30" customHeight="1" x14ac:dyDescent="0.3">
      <c r="A5" s="23" t="s">
        <v>1256</v>
      </c>
      <c r="B5" s="23" t="s">
        <v>791</v>
      </c>
      <c r="C5" s="23" t="s">
        <v>792</v>
      </c>
      <c r="D5" s="23" t="s">
        <v>74</v>
      </c>
      <c r="E5" s="23" t="s">
        <v>1257</v>
      </c>
      <c r="F5" s="36">
        <v>36</v>
      </c>
      <c r="G5" s="36">
        <v>10</v>
      </c>
      <c r="H5" s="36"/>
      <c r="I5" s="36"/>
      <c r="J5" s="36"/>
      <c r="K5" s="36">
        <v>40</v>
      </c>
      <c r="L5" s="23" t="s">
        <v>740</v>
      </c>
      <c r="M5" s="36">
        <f>0.01*(H5+100)/100*(I5+100)/100*(J5+100)/100</f>
        <v>0.01</v>
      </c>
      <c r="N5" s="36">
        <f t="shared" ref="N5:N20" si="0">F5*M5</f>
        <v>0.36</v>
      </c>
      <c r="O5" s="23" t="s">
        <v>741</v>
      </c>
      <c r="P5" s="23" t="s">
        <v>51</v>
      </c>
      <c r="Q5" s="9" t="s">
        <v>54</v>
      </c>
      <c r="R5" s="9" t="s">
        <v>1258</v>
      </c>
      <c r="S5">
        <v>0.01</v>
      </c>
      <c r="T5" s="9" t="s">
        <v>1259</v>
      </c>
      <c r="V5">
        <f>N5</f>
        <v>0.36</v>
      </c>
    </row>
    <row r="6" spans="1:23" ht="30" customHeight="1" x14ac:dyDescent="0.3">
      <c r="A6" s="23" t="s">
        <v>1260</v>
      </c>
      <c r="B6" s="23" t="s">
        <v>791</v>
      </c>
      <c r="C6" s="23" t="s">
        <v>799</v>
      </c>
      <c r="D6" s="23" t="s">
        <v>74</v>
      </c>
      <c r="E6" s="23" t="s">
        <v>1257</v>
      </c>
      <c r="F6" s="36">
        <v>2316</v>
      </c>
      <c r="G6" s="36">
        <v>10</v>
      </c>
      <c r="H6" s="36"/>
      <c r="I6" s="36"/>
      <c r="J6" s="36"/>
      <c r="K6" s="36">
        <v>2548</v>
      </c>
      <c r="L6" s="23" t="s">
        <v>740</v>
      </c>
      <c r="M6" s="36">
        <f>0.01*(H6+100)/100*(I6+100)/100*(J6+100)/100</f>
        <v>0.01</v>
      </c>
      <c r="N6" s="36">
        <f t="shared" si="0"/>
        <v>23.16</v>
      </c>
      <c r="O6" s="23" t="s">
        <v>741</v>
      </c>
      <c r="P6" s="23" t="s">
        <v>51</v>
      </c>
      <c r="Q6" s="9" t="s">
        <v>54</v>
      </c>
      <c r="R6" s="9" t="s">
        <v>1258</v>
      </c>
      <c r="S6">
        <v>0.01</v>
      </c>
      <c r="T6" s="9" t="s">
        <v>1261</v>
      </c>
      <c r="V6">
        <f>N6</f>
        <v>23.16</v>
      </c>
    </row>
    <row r="7" spans="1:23" ht="30" customHeight="1" x14ac:dyDescent="0.3">
      <c r="A7" s="23" t="s">
        <v>1262</v>
      </c>
      <c r="B7" s="23" t="s">
        <v>807</v>
      </c>
      <c r="C7" s="23" t="s">
        <v>808</v>
      </c>
      <c r="D7" s="23" t="s">
        <v>74</v>
      </c>
      <c r="E7" s="23" t="s">
        <v>1263</v>
      </c>
      <c r="F7" s="36">
        <v>9</v>
      </c>
      <c r="G7" s="36">
        <v>5</v>
      </c>
      <c r="H7" s="36"/>
      <c r="I7" s="36"/>
      <c r="J7" s="36"/>
      <c r="K7" s="36">
        <v>9</v>
      </c>
      <c r="L7" s="23" t="s">
        <v>813</v>
      </c>
      <c r="M7" s="36">
        <f>0.019*(H7+100)/100*(I7+100)/100*(J7+100)/100</f>
        <v>1.9E-2</v>
      </c>
      <c r="N7" s="36">
        <f t="shared" si="0"/>
        <v>0.17099999999999999</v>
      </c>
      <c r="O7" s="23" t="s">
        <v>814</v>
      </c>
      <c r="P7" s="23" t="s">
        <v>51</v>
      </c>
      <c r="Q7" s="9" t="s">
        <v>54</v>
      </c>
      <c r="R7" s="9" t="s">
        <v>1264</v>
      </c>
      <c r="S7">
        <v>1.9E-2</v>
      </c>
      <c r="T7" s="9" t="s">
        <v>1265</v>
      </c>
      <c r="W7">
        <f>N7</f>
        <v>0.17099999999999999</v>
      </c>
    </row>
    <row r="8" spans="1:23" ht="30" customHeight="1" x14ac:dyDescent="0.3">
      <c r="A8" s="23" t="s">
        <v>1266</v>
      </c>
      <c r="B8" s="23" t="s">
        <v>727</v>
      </c>
      <c r="C8" s="23" t="s">
        <v>728</v>
      </c>
      <c r="D8" s="23" t="s">
        <v>74</v>
      </c>
      <c r="E8" s="23" t="s">
        <v>1267</v>
      </c>
      <c r="F8" s="36">
        <v>60</v>
      </c>
      <c r="G8" s="36">
        <v>10</v>
      </c>
      <c r="H8" s="36"/>
      <c r="I8" s="36"/>
      <c r="J8" s="36"/>
      <c r="K8" s="36">
        <v>66</v>
      </c>
      <c r="L8" s="23" t="s">
        <v>740</v>
      </c>
      <c r="M8" s="36">
        <f>0.08*(H8+100)/100*(I8+100)/100*(J8+100)/100</f>
        <v>0.08</v>
      </c>
      <c r="N8" s="36">
        <f t="shared" si="0"/>
        <v>4.8</v>
      </c>
      <c r="O8" s="23" t="s">
        <v>741</v>
      </c>
      <c r="P8" s="23" t="s">
        <v>51</v>
      </c>
      <c r="Q8" s="9" t="s">
        <v>54</v>
      </c>
      <c r="R8" s="9" t="s">
        <v>1258</v>
      </c>
      <c r="S8">
        <v>0.08</v>
      </c>
      <c r="T8" s="9" t="s">
        <v>1268</v>
      </c>
      <c r="V8">
        <f t="shared" ref="V8:V20" si="1">N8</f>
        <v>4.8</v>
      </c>
    </row>
    <row r="9" spans="1:23" ht="30" customHeight="1" x14ac:dyDescent="0.3">
      <c r="A9" s="23" t="s">
        <v>1269</v>
      </c>
      <c r="B9" s="23" t="s">
        <v>727</v>
      </c>
      <c r="C9" s="23" t="s">
        <v>745</v>
      </c>
      <c r="D9" s="23" t="s">
        <v>74</v>
      </c>
      <c r="E9" s="23" t="s">
        <v>1267</v>
      </c>
      <c r="F9" s="36">
        <v>235</v>
      </c>
      <c r="G9" s="36">
        <v>10</v>
      </c>
      <c r="H9" s="36"/>
      <c r="I9" s="36"/>
      <c r="J9" s="36"/>
      <c r="K9" s="36">
        <v>259</v>
      </c>
      <c r="L9" s="23" t="s">
        <v>740</v>
      </c>
      <c r="M9" s="36">
        <f>0.11*(H9+100)/100*(I9+100)/100*(J9+100)/100</f>
        <v>0.11</v>
      </c>
      <c r="N9" s="36">
        <f t="shared" si="0"/>
        <v>25.85</v>
      </c>
      <c r="O9" s="23" t="s">
        <v>741</v>
      </c>
      <c r="P9" s="23" t="s">
        <v>51</v>
      </c>
      <c r="Q9" s="9" t="s">
        <v>54</v>
      </c>
      <c r="R9" s="9" t="s">
        <v>1258</v>
      </c>
      <c r="S9">
        <v>0.11</v>
      </c>
      <c r="T9" s="9" t="s">
        <v>1270</v>
      </c>
      <c r="V9">
        <f t="shared" si="1"/>
        <v>25.85</v>
      </c>
    </row>
    <row r="10" spans="1:23" ht="30" customHeight="1" x14ac:dyDescent="0.3">
      <c r="A10" s="23" t="s">
        <v>1271</v>
      </c>
      <c r="B10" s="23" t="s">
        <v>727</v>
      </c>
      <c r="C10" s="23" t="s">
        <v>753</v>
      </c>
      <c r="D10" s="23" t="s">
        <v>74</v>
      </c>
      <c r="E10" s="23" t="s">
        <v>1267</v>
      </c>
      <c r="F10" s="36">
        <v>119</v>
      </c>
      <c r="G10" s="36">
        <v>10</v>
      </c>
      <c r="H10" s="36"/>
      <c r="I10" s="36"/>
      <c r="J10" s="36"/>
      <c r="K10" s="36">
        <v>131</v>
      </c>
      <c r="L10" s="23" t="s">
        <v>740</v>
      </c>
      <c r="M10" s="36">
        <f>0.14*(H10+100)/100*(I10+100)/100*(J10+100)/100</f>
        <v>0.14000000000000001</v>
      </c>
      <c r="N10" s="36">
        <f t="shared" si="0"/>
        <v>16.66</v>
      </c>
      <c r="O10" s="23" t="s">
        <v>741</v>
      </c>
      <c r="P10" s="23" t="s">
        <v>51</v>
      </c>
      <c r="Q10" s="9" t="s">
        <v>54</v>
      </c>
      <c r="R10" s="9" t="s">
        <v>1258</v>
      </c>
      <c r="S10">
        <v>0.14000000000000001</v>
      </c>
      <c r="T10" s="9" t="s">
        <v>1272</v>
      </c>
      <c r="V10">
        <f t="shared" si="1"/>
        <v>16.66</v>
      </c>
    </row>
    <row r="11" spans="1:23" ht="30" customHeight="1" x14ac:dyDescent="0.3">
      <c r="A11" s="23" t="s">
        <v>1273</v>
      </c>
      <c r="B11" s="23" t="s">
        <v>86</v>
      </c>
      <c r="C11" s="23" t="s">
        <v>761</v>
      </c>
      <c r="D11" s="23" t="s">
        <v>74</v>
      </c>
      <c r="E11" s="23" t="s">
        <v>1267</v>
      </c>
      <c r="F11" s="36">
        <v>9</v>
      </c>
      <c r="G11" s="36">
        <v>10</v>
      </c>
      <c r="H11" s="36"/>
      <c r="I11" s="36"/>
      <c r="J11" s="36"/>
      <c r="K11" s="36">
        <v>10</v>
      </c>
      <c r="L11" s="23" t="s">
        <v>740</v>
      </c>
      <c r="M11" s="36">
        <f>0.044*(H11+100)/100*(I11+100)/100*(J11+100)/100</f>
        <v>4.3999999999999997E-2</v>
      </c>
      <c r="N11" s="36">
        <f t="shared" si="0"/>
        <v>0.39599999999999996</v>
      </c>
      <c r="O11" s="23" t="s">
        <v>741</v>
      </c>
      <c r="P11" s="23" t="s">
        <v>51</v>
      </c>
      <c r="Q11" s="9" t="s">
        <v>54</v>
      </c>
      <c r="R11" s="9" t="s">
        <v>1258</v>
      </c>
      <c r="S11">
        <v>4.3999999999999997E-2</v>
      </c>
      <c r="T11" s="9" t="s">
        <v>1274</v>
      </c>
      <c r="V11">
        <f t="shared" si="1"/>
        <v>0.39599999999999996</v>
      </c>
    </row>
    <row r="12" spans="1:23" ht="30" customHeight="1" x14ac:dyDescent="0.3">
      <c r="A12" s="23" t="s">
        <v>1275</v>
      </c>
      <c r="B12" s="23" t="s">
        <v>126</v>
      </c>
      <c r="C12" s="23" t="s">
        <v>905</v>
      </c>
      <c r="D12" s="23" t="s">
        <v>132</v>
      </c>
      <c r="E12" s="23" t="s">
        <v>904</v>
      </c>
      <c r="F12" s="36">
        <v>1</v>
      </c>
      <c r="G12" s="36">
        <v>0</v>
      </c>
      <c r="H12" s="36"/>
      <c r="I12" s="36"/>
      <c r="J12" s="36"/>
      <c r="K12" s="36">
        <v>1</v>
      </c>
      <c r="L12" s="23" t="s">
        <v>740</v>
      </c>
      <c r="M12" s="36">
        <f>1.68*(H12+100)/100*(I12+100)/100*(J12+100)/100</f>
        <v>1.68</v>
      </c>
      <c r="N12" s="36">
        <f t="shared" si="0"/>
        <v>1.68</v>
      </c>
      <c r="O12" s="23" t="s">
        <v>741</v>
      </c>
      <c r="P12" s="23" t="s">
        <v>51</v>
      </c>
      <c r="Q12" s="9" t="s">
        <v>54</v>
      </c>
      <c r="R12" s="9" t="s">
        <v>1258</v>
      </c>
      <c r="S12">
        <v>1.68</v>
      </c>
      <c r="T12" s="9" t="s">
        <v>1276</v>
      </c>
      <c r="V12">
        <f t="shared" si="1"/>
        <v>1.68</v>
      </c>
    </row>
    <row r="13" spans="1:23" ht="30" customHeight="1" x14ac:dyDescent="0.3">
      <c r="A13" s="23" t="s">
        <v>1277</v>
      </c>
      <c r="B13" s="23" t="s">
        <v>912</v>
      </c>
      <c r="C13" s="23" t="s">
        <v>913</v>
      </c>
      <c r="D13" s="23" t="s">
        <v>132</v>
      </c>
      <c r="E13" s="23" t="s">
        <v>1278</v>
      </c>
      <c r="F13" s="36">
        <v>6</v>
      </c>
      <c r="G13" s="36">
        <v>0</v>
      </c>
      <c r="H13" s="36"/>
      <c r="I13" s="36"/>
      <c r="J13" s="36"/>
      <c r="K13" s="36">
        <v>6</v>
      </c>
      <c r="L13" s="23" t="s">
        <v>740</v>
      </c>
      <c r="M13" s="36">
        <f>0.12*(H13+100)/100*(I13+100)/100*(J13+100)/100</f>
        <v>0.12</v>
      </c>
      <c r="N13" s="36">
        <f t="shared" si="0"/>
        <v>0.72</v>
      </c>
      <c r="O13" s="23" t="s">
        <v>741</v>
      </c>
      <c r="P13" s="23" t="s">
        <v>51</v>
      </c>
      <c r="Q13" s="9" t="s">
        <v>54</v>
      </c>
      <c r="R13" s="9" t="s">
        <v>1258</v>
      </c>
      <c r="S13">
        <v>0.12</v>
      </c>
      <c r="T13" s="9" t="s">
        <v>1279</v>
      </c>
      <c r="V13">
        <f t="shared" si="1"/>
        <v>0.72</v>
      </c>
    </row>
    <row r="14" spans="1:23" ht="30" customHeight="1" x14ac:dyDescent="0.3">
      <c r="A14" s="23" t="s">
        <v>1280</v>
      </c>
      <c r="B14" s="23" t="s">
        <v>862</v>
      </c>
      <c r="C14" s="23" t="s">
        <v>820</v>
      </c>
      <c r="D14" s="23" t="s">
        <v>132</v>
      </c>
      <c r="E14" s="23" t="s">
        <v>1281</v>
      </c>
      <c r="F14" s="36">
        <v>6</v>
      </c>
      <c r="G14" s="36">
        <v>0</v>
      </c>
      <c r="H14" s="36"/>
      <c r="I14" s="36"/>
      <c r="J14" s="36"/>
      <c r="K14" s="36">
        <v>6</v>
      </c>
      <c r="L14" s="23" t="s">
        <v>740</v>
      </c>
      <c r="M14" s="36">
        <f>0.15*(H14+100)/100*(I14+100)/100*(J14+100)/100</f>
        <v>0.15</v>
      </c>
      <c r="N14" s="36">
        <f t="shared" si="0"/>
        <v>0.89999999999999991</v>
      </c>
      <c r="O14" s="23" t="s">
        <v>741</v>
      </c>
      <c r="P14" s="23" t="s">
        <v>51</v>
      </c>
      <c r="Q14" s="9" t="s">
        <v>54</v>
      </c>
      <c r="R14" s="9" t="s">
        <v>1258</v>
      </c>
      <c r="S14">
        <v>0.15</v>
      </c>
      <c r="T14" s="9" t="s">
        <v>1282</v>
      </c>
      <c r="V14">
        <f t="shared" si="1"/>
        <v>0.89999999999999991</v>
      </c>
    </row>
    <row r="15" spans="1:23" ht="30" customHeight="1" x14ac:dyDescent="0.3">
      <c r="A15" s="23" t="s">
        <v>1283</v>
      </c>
      <c r="B15" s="23" t="s">
        <v>827</v>
      </c>
      <c r="C15" s="23" t="s">
        <v>828</v>
      </c>
      <c r="D15" s="23" t="s">
        <v>132</v>
      </c>
      <c r="E15" s="23" t="s">
        <v>1284</v>
      </c>
      <c r="F15" s="36">
        <v>10</v>
      </c>
      <c r="G15" s="36">
        <v>0</v>
      </c>
      <c r="H15" s="36"/>
      <c r="I15" s="36"/>
      <c r="J15" s="36"/>
      <c r="K15" s="36">
        <v>10</v>
      </c>
      <c r="L15" s="23" t="s">
        <v>740</v>
      </c>
      <c r="M15" s="36">
        <f>0.13*(H15+100)/100*(I15+100)/100*(J15+100)/100</f>
        <v>0.13</v>
      </c>
      <c r="N15" s="36">
        <f t="shared" si="0"/>
        <v>1.3</v>
      </c>
      <c r="O15" s="23" t="s">
        <v>741</v>
      </c>
      <c r="P15" s="23" t="s">
        <v>51</v>
      </c>
      <c r="Q15" s="9" t="s">
        <v>54</v>
      </c>
      <c r="R15" s="9" t="s">
        <v>1258</v>
      </c>
      <c r="S15">
        <v>0.13</v>
      </c>
      <c r="T15" s="9" t="s">
        <v>1285</v>
      </c>
      <c r="V15">
        <f t="shared" si="1"/>
        <v>1.3</v>
      </c>
    </row>
    <row r="16" spans="1:23" ht="30" customHeight="1" x14ac:dyDescent="0.3">
      <c r="A16" s="23" t="s">
        <v>1286</v>
      </c>
      <c r="B16" s="23" t="s">
        <v>851</v>
      </c>
      <c r="C16" s="23" t="s">
        <v>852</v>
      </c>
      <c r="D16" s="23" t="s">
        <v>132</v>
      </c>
      <c r="E16" s="23" t="s">
        <v>1284</v>
      </c>
      <c r="F16" s="36">
        <v>10</v>
      </c>
      <c r="G16" s="36">
        <v>0</v>
      </c>
      <c r="H16" s="36"/>
      <c r="I16" s="36"/>
      <c r="J16" s="36"/>
      <c r="K16" s="36">
        <v>10</v>
      </c>
      <c r="L16" s="23" t="s">
        <v>740</v>
      </c>
      <c r="M16" s="36">
        <f>0.13*(H16+100)/100*(I16+100)/100*(J16+100)/100</f>
        <v>0.13</v>
      </c>
      <c r="N16" s="36">
        <f t="shared" si="0"/>
        <v>1.3</v>
      </c>
      <c r="O16" s="23" t="s">
        <v>741</v>
      </c>
      <c r="P16" s="23" t="s">
        <v>51</v>
      </c>
      <c r="Q16" s="9" t="s">
        <v>54</v>
      </c>
      <c r="R16" s="9" t="s">
        <v>1258</v>
      </c>
      <c r="S16">
        <v>0.13</v>
      </c>
      <c r="T16" s="9" t="s">
        <v>1287</v>
      </c>
      <c r="V16">
        <f t="shared" si="1"/>
        <v>1.3</v>
      </c>
    </row>
    <row r="17" spans="1:22" ht="30" customHeight="1" x14ac:dyDescent="0.3">
      <c r="A17" s="23" t="s">
        <v>1288</v>
      </c>
      <c r="B17" s="23" t="s">
        <v>819</v>
      </c>
      <c r="C17" s="23" t="s">
        <v>820</v>
      </c>
      <c r="D17" s="23" t="s">
        <v>132</v>
      </c>
      <c r="E17" s="23" t="s">
        <v>818</v>
      </c>
      <c r="F17" s="36">
        <v>1</v>
      </c>
      <c r="G17" s="36">
        <v>0</v>
      </c>
      <c r="H17" s="36"/>
      <c r="I17" s="36"/>
      <c r="J17" s="36"/>
      <c r="K17" s="36">
        <v>1</v>
      </c>
      <c r="L17" s="23" t="s">
        <v>740</v>
      </c>
      <c r="M17" s="36">
        <f>0.15*(H17+100)/100*(I17+100)/100*(J17+100)/100</f>
        <v>0.15</v>
      </c>
      <c r="N17" s="36">
        <f t="shared" si="0"/>
        <v>0.15</v>
      </c>
      <c r="O17" s="23" t="s">
        <v>741</v>
      </c>
      <c r="P17" s="23" t="s">
        <v>51</v>
      </c>
      <c r="Q17" s="9" t="s">
        <v>54</v>
      </c>
      <c r="R17" s="9" t="s">
        <v>1258</v>
      </c>
      <c r="S17">
        <v>0.15</v>
      </c>
      <c r="T17" s="9" t="s">
        <v>1289</v>
      </c>
      <c r="V17">
        <f t="shared" si="1"/>
        <v>0.15</v>
      </c>
    </row>
    <row r="18" spans="1:22" ht="30" customHeight="1" x14ac:dyDescent="0.3">
      <c r="A18" s="23" t="s">
        <v>1290</v>
      </c>
      <c r="B18" s="23" t="s">
        <v>884</v>
      </c>
      <c r="C18" s="23" t="s">
        <v>885</v>
      </c>
      <c r="D18" s="23" t="s">
        <v>187</v>
      </c>
      <c r="E18" s="23" t="s">
        <v>1291</v>
      </c>
      <c r="F18" s="36">
        <v>1</v>
      </c>
      <c r="G18" s="36">
        <v>0</v>
      </c>
      <c r="H18" s="36"/>
      <c r="I18" s="36"/>
      <c r="J18" s="36"/>
      <c r="K18" s="36">
        <v>1</v>
      </c>
      <c r="L18" s="23" t="s">
        <v>740</v>
      </c>
      <c r="M18" s="36">
        <f>7.8*(H18+100)/100*(I18+100)/100*(J18+100)/100</f>
        <v>7.8</v>
      </c>
      <c r="N18" s="36">
        <f t="shared" si="0"/>
        <v>7.8</v>
      </c>
      <c r="O18" s="23" t="s">
        <v>741</v>
      </c>
      <c r="P18" s="23" t="s">
        <v>51</v>
      </c>
      <c r="Q18" s="9" t="s">
        <v>54</v>
      </c>
      <c r="R18" s="9" t="s">
        <v>1258</v>
      </c>
      <c r="S18">
        <v>7.8</v>
      </c>
      <c r="T18" s="9" t="s">
        <v>1292</v>
      </c>
      <c r="V18">
        <f t="shared" si="1"/>
        <v>7.8</v>
      </c>
    </row>
    <row r="19" spans="1:22" ht="30" customHeight="1" x14ac:dyDescent="0.3">
      <c r="A19" s="23" t="s">
        <v>1293</v>
      </c>
      <c r="B19" s="23" t="s">
        <v>1294</v>
      </c>
      <c r="C19" s="23" t="s">
        <v>51</v>
      </c>
      <c r="D19" s="23" t="s">
        <v>132</v>
      </c>
      <c r="E19" s="23" t="s">
        <v>1295</v>
      </c>
      <c r="F19" s="36">
        <v>20</v>
      </c>
      <c r="G19" s="36">
        <v>0</v>
      </c>
      <c r="H19" s="36"/>
      <c r="I19" s="36"/>
      <c r="J19" s="36"/>
      <c r="K19" s="36">
        <v>20</v>
      </c>
      <c r="L19" s="23" t="s">
        <v>740</v>
      </c>
      <c r="M19" s="36">
        <f>0.045*(H19+100)/100*(I19+100)/100*(J19+100)/100</f>
        <v>4.4999999999999998E-2</v>
      </c>
      <c r="N19" s="36">
        <f t="shared" si="0"/>
        <v>0.89999999999999991</v>
      </c>
      <c r="O19" s="23" t="s">
        <v>741</v>
      </c>
      <c r="P19" s="23" t="s">
        <v>51</v>
      </c>
      <c r="Q19" s="9" t="s">
        <v>54</v>
      </c>
      <c r="R19" s="9" t="s">
        <v>1258</v>
      </c>
      <c r="S19">
        <v>4.4999999999999998E-2</v>
      </c>
      <c r="T19" s="9" t="s">
        <v>1296</v>
      </c>
      <c r="V19">
        <f t="shared" si="1"/>
        <v>0.89999999999999991</v>
      </c>
    </row>
    <row r="20" spans="1:22" ht="30" customHeight="1" x14ac:dyDescent="0.3">
      <c r="A20" s="23" t="s">
        <v>1297</v>
      </c>
      <c r="B20" s="23" t="s">
        <v>1298</v>
      </c>
      <c r="C20" s="23" t="s">
        <v>51</v>
      </c>
      <c r="D20" s="23" t="s">
        <v>132</v>
      </c>
      <c r="E20" s="23" t="s">
        <v>1284</v>
      </c>
      <c r="F20" s="36">
        <v>6</v>
      </c>
      <c r="G20" s="36">
        <v>0</v>
      </c>
      <c r="H20" s="36"/>
      <c r="I20" s="36"/>
      <c r="J20" s="36"/>
      <c r="K20" s="36">
        <v>6</v>
      </c>
      <c r="L20" s="23" t="s">
        <v>740</v>
      </c>
      <c r="M20" s="36">
        <f>0.13*(H20+100)/100*(I20+100)/100*(J20+100)/100</f>
        <v>0.13</v>
      </c>
      <c r="N20" s="36">
        <f t="shared" si="0"/>
        <v>0.78</v>
      </c>
      <c r="O20" s="23" t="s">
        <v>741</v>
      </c>
      <c r="P20" s="23" t="s">
        <v>51</v>
      </c>
      <c r="Q20" s="9" t="s">
        <v>54</v>
      </c>
      <c r="R20" s="9" t="s">
        <v>1258</v>
      </c>
      <c r="S20">
        <v>0.13</v>
      </c>
      <c r="T20" s="9" t="s">
        <v>1299</v>
      </c>
      <c r="V20">
        <f t="shared" si="1"/>
        <v>0.78</v>
      </c>
    </row>
    <row r="21" spans="1:22" ht="30" customHeight="1" x14ac:dyDescent="0.3">
      <c r="A21" s="23" t="s">
        <v>1258</v>
      </c>
      <c r="B21" s="23" t="s">
        <v>740</v>
      </c>
      <c r="C21" s="23" t="s">
        <v>624</v>
      </c>
      <c r="D21" s="23" t="s">
        <v>625</v>
      </c>
      <c r="E21" s="23" t="s">
        <v>51</v>
      </c>
      <c r="F21" s="36">
        <f>SUM(V5:V20)</f>
        <v>86.756000000000014</v>
      </c>
      <c r="G21" s="36"/>
      <c r="H21" s="36"/>
      <c r="I21" s="36"/>
      <c r="J21" s="36"/>
      <c r="K21" s="36">
        <f>IF(ROUND(F21*[1]공량설정!B2/100, [1]공량설정!C3) = 0, 1, ROUND(F21*[1]공량설정!B2/100, [1]공량설정!C3))</f>
        <v>87</v>
      </c>
      <c r="L21" s="23" t="s">
        <v>51</v>
      </c>
      <c r="M21" s="36"/>
      <c r="N21" s="36"/>
      <c r="O21" s="36" t="s">
        <v>741</v>
      </c>
      <c r="P21" s="23" t="s">
        <v>51</v>
      </c>
      <c r="Q21" s="9" t="s">
        <v>54</v>
      </c>
      <c r="R21" s="9" t="s">
        <v>51</v>
      </c>
      <c r="T21" s="9" t="s">
        <v>1300</v>
      </c>
    </row>
    <row r="22" spans="1:22" ht="30" customHeight="1" x14ac:dyDescent="0.3">
      <c r="A22" s="23" t="s">
        <v>1264</v>
      </c>
      <c r="B22" s="23" t="s">
        <v>813</v>
      </c>
      <c r="C22" s="23" t="s">
        <v>624</v>
      </c>
      <c r="D22" s="23" t="s">
        <v>625</v>
      </c>
      <c r="E22" s="23" t="s">
        <v>51</v>
      </c>
      <c r="F22" s="36">
        <f>SUM(W5:W20)</f>
        <v>0.17099999999999999</v>
      </c>
      <c r="G22" s="36"/>
      <c r="H22" s="36"/>
      <c r="I22" s="36"/>
      <c r="J22" s="36"/>
      <c r="K22" s="36">
        <f>IF(ROUND(F22*[1]공량설정!B2/100, [1]공량설정!C4) = 0, 1, ROUND(F22*[1]공량설정!B2/100, [1]공량설정!C4))</f>
        <v>1</v>
      </c>
      <c r="L22" s="23" t="s">
        <v>51</v>
      </c>
      <c r="M22" s="36"/>
      <c r="N22" s="36"/>
      <c r="O22" s="36" t="s">
        <v>814</v>
      </c>
      <c r="P22" s="23" t="s">
        <v>51</v>
      </c>
      <c r="Q22" s="9" t="s">
        <v>54</v>
      </c>
      <c r="R22" s="9" t="s">
        <v>51</v>
      </c>
      <c r="T22" s="9" t="s">
        <v>1301</v>
      </c>
    </row>
    <row r="23" spans="1:22" ht="30" customHeight="1" x14ac:dyDescent="0.3">
      <c r="A23" s="36"/>
      <c r="B23" s="116" t="s">
        <v>1135</v>
      </c>
      <c r="C23" s="116"/>
      <c r="D23" s="116"/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6"/>
      <c r="P23" s="116"/>
    </row>
    <row r="24" spans="1:22" ht="30" customHeight="1" x14ac:dyDescent="0.3">
      <c r="A24" s="36"/>
      <c r="B24" s="116" t="s">
        <v>1136</v>
      </c>
      <c r="C24" s="116"/>
      <c r="D24" s="116"/>
      <c r="E24" s="116"/>
      <c r="F24" s="116"/>
      <c r="G24" s="116"/>
      <c r="H24" s="116"/>
      <c r="I24" s="116"/>
      <c r="J24" s="116"/>
      <c r="K24" s="116"/>
      <c r="L24" s="116"/>
      <c r="M24" s="116"/>
      <c r="N24" s="116"/>
      <c r="O24" s="116"/>
      <c r="P24" s="116"/>
    </row>
  </sheetData>
  <mergeCells count="5">
    <mergeCell ref="A1:P1"/>
    <mergeCell ref="A2:P2"/>
    <mergeCell ref="B4:P4"/>
    <mergeCell ref="B23:P23"/>
    <mergeCell ref="B24:P24"/>
  </mergeCells>
  <phoneticPr fontId="1" type="noConversion"/>
  <pageMargins left="0.78740157480314954" right="0" top="0.39370078740157477" bottom="0.39370078740157477" header="0" footer="0"/>
  <pageSetup paperSize="9" scale="56" fitToHeight="0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57"/>
  <sheetViews>
    <sheetView topLeftCell="A13" workbookViewId="0">
      <selection activeCell="A3" sqref="A3:P3"/>
    </sheetView>
  </sheetViews>
  <sheetFormatPr defaultRowHeight="16.5" x14ac:dyDescent="0.3"/>
  <cols>
    <col min="1" max="1" width="20" bestFit="1" customWidth="1"/>
    <col min="2" max="2" width="58.75" bestFit="1" customWidth="1"/>
    <col min="3" max="3" width="22.875" bestFit="1" customWidth="1"/>
    <col min="4" max="4" width="7.125" bestFit="1" customWidth="1"/>
    <col min="5" max="5" width="8.25" bestFit="1" customWidth="1"/>
    <col min="6" max="6" width="16.125" bestFit="1" customWidth="1"/>
    <col min="7" max="7" width="46.125" bestFit="1" customWidth="1"/>
    <col min="8" max="8" width="41.375" bestFit="1" customWidth="1"/>
    <col min="9" max="9" width="6" bestFit="1" customWidth="1"/>
    <col min="10" max="10" width="8.125" bestFit="1" customWidth="1"/>
    <col min="11" max="11" width="10.375" style="92" bestFit="1" customWidth="1"/>
    <col min="12" max="12" width="7.125" bestFit="1" customWidth="1"/>
    <col min="13" max="13" width="8.25" bestFit="1" customWidth="1"/>
    <col min="14" max="14" width="26.75" bestFit="1" customWidth="1"/>
    <col min="15" max="15" width="10.25" bestFit="1" customWidth="1"/>
    <col min="16" max="16" width="6" bestFit="1" customWidth="1"/>
    <col min="18" max="18" width="9" hidden="1" customWidth="1"/>
    <col min="19" max="23" width="0" hidden="1" customWidth="1"/>
  </cols>
  <sheetData>
    <row r="1" spans="1:24" ht="30" customHeight="1" x14ac:dyDescent="0.3">
      <c r="A1" s="118" t="s">
        <v>1312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</row>
    <row r="2" spans="1:24" ht="20.100000000000001" customHeight="1" x14ac:dyDescent="0.3">
      <c r="A2" s="117" t="str">
        <f>일위대가!A1</f>
        <v>[ 사옥 이산화탄소 소화설비 교체공사 ]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</row>
    <row r="3" spans="1:24" ht="20.100000000000001" customHeight="1" x14ac:dyDescent="0.3">
      <c r="A3" s="117" t="s">
        <v>1313</v>
      </c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</row>
    <row r="4" spans="1:24" ht="30" customHeight="1" x14ac:dyDescent="0.3">
      <c r="A4" s="37" t="s">
        <v>1314</v>
      </c>
      <c r="B4" s="37" t="s">
        <v>1315</v>
      </c>
      <c r="C4" s="37" t="s">
        <v>1316</v>
      </c>
      <c r="D4" s="37" t="s">
        <v>1317</v>
      </c>
      <c r="E4" s="37" t="s">
        <v>12</v>
      </c>
      <c r="F4" s="37" t="s">
        <v>1318</v>
      </c>
      <c r="G4" s="37" t="s">
        <v>1319</v>
      </c>
      <c r="H4" s="37" t="s">
        <v>1320</v>
      </c>
      <c r="I4" s="37" t="s">
        <v>4</v>
      </c>
      <c r="J4" s="37" t="s">
        <v>1321</v>
      </c>
      <c r="K4" s="37" t="s">
        <v>1322</v>
      </c>
      <c r="L4" s="37" t="s">
        <v>1323</v>
      </c>
      <c r="M4" s="37" t="s">
        <v>12</v>
      </c>
      <c r="N4" s="37" t="s">
        <v>1324</v>
      </c>
      <c r="O4" s="37" t="s">
        <v>1325</v>
      </c>
      <c r="P4" s="37" t="s">
        <v>1326</v>
      </c>
    </row>
    <row r="5" spans="1:24" ht="20.100000000000001" customHeight="1" x14ac:dyDescent="0.3">
      <c r="A5" s="38" t="s">
        <v>1327</v>
      </c>
      <c r="B5" s="38" t="s">
        <v>51</v>
      </c>
      <c r="C5" s="38" t="s">
        <v>51</v>
      </c>
      <c r="D5" s="39"/>
      <c r="E5" s="38" t="s">
        <v>51</v>
      </c>
      <c r="F5" s="38" t="s">
        <v>51</v>
      </c>
      <c r="G5" s="38" t="s">
        <v>51</v>
      </c>
      <c r="H5" s="38" t="s">
        <v>51</v>
      </c>
      <c r="I5" s="38" t="s">
        <v>51</v>
      </c>
      <c r="J5" s="39"/>
      <c r="K5" s="89" t="s">
        <v>51</v>
      </c>
      <c r="L5" s="39"/>
      <c r="M5" s="38" t="s">
        <v>51</v>
      </c>
      <c r="N5" s="38" t="s">
        <v>51</v>
      </c>
      <c r="O5" s="38" t="s">
        <v>51</v>
      </c>
      <c r="P5" s="38" t="s">
        <v>51</v>
      </c>
    </row>
    <row r="6" spans="1:24" ht="20.100000000000001" customHeight="1" x14ac:dyDescent="0.3">
      <c r="A6" s="38" t="s">
        <v>51</v>
      </c>
      <c r="B6" s="38" t="s">
        <v>51</v>
      </c>
      <c r="C6" s="38" t="s">
        <v>51</v>
      </c>
      <c r="D6" s="39"/>
      <c r="E6" s="38" t="s">
        <v>51</v>
      </c>
      <c r="F6" s="38" t="s">
        <v>51</v>
      </c>
      <c r="G6" s="38" t="s">
        <v>51</v>
      </c>
      <c r="H6" s="38" t="s">
        <v>51</v>
      </c>
      <c r="I6" s="38" t="s">
        <v>51</v>
      </c>
      <c r="J6" s="39"/>
      <c r="K6" s="89" t="s">
        <v>51</v>
      </c>
      <c r="L6" s="39"/>
      <c r="M6" s="38" t="s">
        <v>51</v>
      </c>
      <c r="N6" s="38" t="s">
        <v>51</v>
      </c>
      <c r="O6" s="38" t="s">
        <v>51</v>
      </c>
      <c r="P6" s="38" t="s">
        <v>51</v>
      </c>
    </row>
    <row r="7" spans="1:24" ht="20.100000000000001" customHeight="1" x14ac:dyDescent="0.3">
      <c r="A7" s="38" t="s">
        <v>1328</v>
      </c>
      <c r="B7" s="38" t="s">
        <v>1329</v>
      </c>
      <c r="C7" s="38" t="s">
        <v>1330</v>
      </c>
      <c r="D7" s="39">
        <v>54</v>
      </c>
      <c r="E7" s="38" t="s">
        <v>51</v>
      </c>
      <c r="F7" s="38" t="s">
        <v>1331</v>
      </c>
      <c r="G7" s="38" t="s">
        <v>55</v>
      </c>
      <c r="H7" s="38" t="s">
        <v>63</v>
      </c>
      <c r="I7" s="38" t="s">
        <v>57</v>
      </c>
      <c r="J7" s="39">
        <v>5</v>
      </c>
      <c r="K7" s="89" t="s">
        <v>1332</v>
      </c>
      <c r="L7" s="39">
        <v>270</v>
      </c>
      <c r="M7" s="38" t="s">
        <v>51</v>
      </c>
      <c r="N7" s="38" t="s">
        <v>1333</v>
      </c>
      <c r="O7" s="38" t="s">
        <v>1334</v>
      </c>
      <c r="P7" s="38" t="s">
        <v>1335</v>
      </c>
      <c r="R7" t="str">
        <f>CONCATENATE(G7," ",H7)</f>
        <v>450/75OV 저독성난연가교폴리올레핀절연전선(HFIX) 1.78㎜</v>
      </c>
    </row>
    <row r="8" spans="1:24" ht="20.100000000000001" customHeight="1" x14ac:dyDescent="0.3">
      <c r="A8" s="38" t="s">
        <v>51</v>
      </c>
      <c r="B8" s="38" t="s">
        <v>51</v>
      </c>
      <c r="C8" s="38" t="s">
        <v>51</v>
      </c>
      <c r="D8" s="39"/>
      <c r="E8" s="38" t="s">
        <v>51</v>
      </c>
      <c r="F8" s="38" t="s">
        <v>1336</v>
      </c>
      <c r="G8" s="38" t="s">
        <v>1863</v>
      </c>
      <c r="H8" s="38" t="s">
        <v>1860</v>
      </c>
      <c r="I8" s="38" t="s">
        <v>93</v>
      </c>
      <c r="J8" s="39">
        <v>1</v>
      </c>
      <c r="K8" s="89" t="s">
        <v>1337</v>
      </c>
      <c r="L8" s="39">
        <v>36</v>
      </c>
      <c r="M8" s="38" t="s">
        <v>51</v>
      </c>
      <c r="N8" s="38" t="s">
        <v>1333</v>
      </c>
      <c r="O8" s="38" t="s">
        <v>1334</v>
      </c>
      <c r="P8" s="38" t="s">
        <v>1335</v>
      </c>
      <c r="R8" t="str">
        <f t="shared" ref="R8:R73" si="0">CONCATENATE(G8," ",H8)</f>
        <v>케이블클램프 케이블클램프, 접지크램프, 22C</v>
      </c>
    </row>
    <row r="9" spans="1:24" ht="20.100000000000001" customHeight="1" x14ac:dyDescent="0.3">
      <c r="A9" s="38" t="s">
        <v>51</v>
      </c>
      <c r="B9" s="38" t="s">
        <v>51</v>
      </c>
      <c r="C9" s="38" t="s">
        <v>51</v>
      </c>
      <c r="D9" s="39"/>
      <c r="E9" s="38" t="s">
        <v>51</v>
      </c>
      <c r="F9" s="38" t="s">
        <v>1338</v>
      </c>
      <c r="G9" s="38" t="s">
        <v>72</v>
      </c>
      <c r="H9" s="38" t="s">
        <v>78</v>
      </c>
      <c r="I9" s="38" t="s">
        <v>74</v>
      </c>
      <c r="J9" s="39">
        <v>1</v>
      </c>
      <c r="K9" s="89" t="s">
        <v>1332</v>
      </c>
      <c r="L9" s="39">
        <v>54</v>
      </c>
      <c r="M9" s="38" t="s">
        <v>51</v>
      </c>
      <c r="N9" s="38" t="s">
        <v>1333</v>
      </c>
      <c r="O9" s="38" t="s">
        <v>1334</v>
      </c>
      <c r="P9" s="38" t="s">
        <v>1335</v>
      </c>
      <c r="R9" t="str">
        <f t="shared" si="0"/>
        <v>강제 전선관 아연도  22 mm</v>
      </c>
    </row>
    <row r="10" spans="1:24" ht="20.100000000000001" customHeight="1" x14ac:dyDescent="0.3">
      <c r="A10" s="38" t="s">
        <v>1339</v>
      </c>
      <c r="B10" s="38" t="s">
        <v>1329</v>
      </c>
      <c r="C10" s="38" t="s">
        <v>1340</v>
      </c>
      <c r="D10" s="39">
        <v>45</v>
      </c>
      <c r="E10" s="38" t="s">
        <v>51</v>
      </c>
      <c r="F10" s="38" t="s">
        <v>1331</v>
      </c>
      <c r="G10" s="38" t="s">
        <v>55</v>
      </c>
      <c r="H10" s="38" t="s">
        <v>63</v>
      </c>
      <c r="I10" s="38" t="s">
        <v>57</v>
      </c>
      <c r="J10" s="39">
        <v>5</v>
      </c>
      <c r="K10" s="89" t="s">
        <v>1341</v>
      </c>
      <c r="L10" s="39">
        <v>225</v>
      </c>
      <c r="M10" s="38" t="s">
        <v>51</v>
      </c>
      <c r="N10" s="38" t="s">
        <v>1333</v>
      </c>
      <c r="O10" s="38" t="s">
        <v>1334</v>
      </c>
      <c r="P10" s="38" t="s">
        <v>1335</v>
      </c>
      <c r="R10" t="str">
        <f t="shared" si="0"/>
        <v>450/75OV 저독성난연가교폴리올레핀절연전선(HFIX) 1.78㎜</v>
      </c>
    </row>
    <row r="11" spans="1:24" ht="20.100000000000001" customHeight="1" x14ac:dyDescent="0.3">
      <c r="A11" s="38" t="s">
        <v>51</v>
      </c>
      <c r="B11" s="38" t="s">
        <v>51</v>
      </c>
      <c r="C11" s="38" t="s">
        <v>51</v>
      </c>
      <c r="D11" s="39"/>
      <c r="E11" s="38" t="s">
        <v>51</v>
      </c>
      <c r="F11" s="38" t="s">
        <v>1336</v>
      </c>
      <c r="G11" s="38" t="s">
        <v>1863</v>
      </c>
      <c r="H11" s="38" t="s">
        <v>1860</v>
      </c>
      <c r="I11" s="38" t="s">
        <v>93</v>
      </c>
      <c r="J11" s="39">
        <v>1</v>
      </c>
      <c r="K11" s="89" t="s">
        <v>1342</v>
      </c>
      <c r="L11" s="39">
        <v>30</v>
      </c>
      <c r="M11" s="38" t="s">
        <v>51</v>
      </c>
      <c r="N11" s="38" t="s">
        <v>1333</v>
      </c>
      <c r="O11" s="38" t="s">
        <v>1334</v>
      </c>
      <c r="P11" s="38" t="s">
        <v>1335</v>
      </c>
      <c r="R11" t="str">
        <f t="shared" si="0"/>
        <v>케이블클램프 케이블클램프, 접지크램프, 22C</v>
      </c>
    </row>
    <row r="12" spans="1:24" ht="20.100000000000001" customHeight="1" x14ac:dyDescent="0.3">
      <c r="A12" s="38" t="s">
        <v>51</v>
      </c>
      <c r="B12" s="38" t="s">
        <v>51</v>
      </c>
      <c r="C12" s="38" t="s">
        <v>51</v>
      </c>
      <c r="D12" s="39"/>
      <c r="E12" s="38" t="s">
        <v>51</v>
      </c>
      <c r="F12" s="38" t="s">
        <v>1338</v>
      </c>
      <c r="G12" s="38" t="s">
        <v>72</v>
      </c>
      <c r="H12" s="38" t="s">
        <v>78</v>
      </c>
      <c r="I12" s="38" t="s">
        <v>74</v>
      </c>
      <c r="J12" s="39">
        <v>1</v>
      </c>
      <c r="K12" s="89" t="s">
        <v>1341</v>
      </c>
      <c r="L12" s="39">
        <v>45</v>
      </c>
      <c r="M12" s="38" t="s">
        <v>51</v>
      </c>
      <c r="N12" s="38" t="s">
        <v>1333</v>
      </c>
      <c r="O12" s="38" t="s">
        <v>1334</v>
      </c>
      <c r="P12" s="38" t="s">
        <v>1335</v>
      </c>
      <c r="R12" t="str">
        <f t="shared" si="0"/>
        <v>강제 전선관 아연도  22 mm</v>
      </c>
    </row>
    <row r="13" spans="1:24" ht="20.100000000000001" customHeight="1" x14ac:dyDescent="0.3">
      <c r="A13" s="38" t="s">
        <v>1343</v>
      </c>
      <c r="B13" s="38" t="s">
        <v>1329</v>
      </c>
      <c r="C13" s="38" t="s">
        <v>1344</v>
      </c>
      <c r="D13" s="39">
        <v>30</v>
      </c>
      <c r="E13" s="38" t="s">
        <v>51</v>
      </c>
      <c r="F13" s="38" t="s">
        <v>1331</v>
      </c>
      <c r="G13" s="38" t="s">
        <v>55</v>
      </c>
      <c r="H13" s="38" t="s">
        <v>63</v>
      </c>
      <c r="I13" s="38" t="s">
        <v>57</v>
      </c>
      <c r="J13" s="39">
        <v>5</v>
      </c>
      <c r="K13" s="89" t="s">
        <v>1345</v>
      </c>
      <c r="L13" s="39">
        <v>150</v>
      </c>
      <c r="M13" s="38" t="s">
        <v>51</v>
      </c>
      <c r="N13" s="38" t="s">
        <v>1333</v>
      </c>
      <c r="O13" s="38" t="s">
        <v>1334</v>
      </c>
      <c r="P13" s="38" t="s">
        <v>1335</v>
      </c>
      <c r="R13" t="str">
        <f t="shared" si="0"/>
        <v>450/75OV 저독성난연가교폴리올레핀절연전선(HFIX) 1.78㎜</v>
      </c>
    </row>
    <row r="14" spans="1:24" ht="20.100000000000001" customHeight="1" x14ac:dyDescent="0.3">
      <c r="A14" s="38" t="s">
        <v>51</v>
      </c>
      <c r="B14" s="38" t="s">
        <v>51</v>
      </c>
      <c r="C14" s="38" t="s">
        <v>51</v>
      </c>
      <c r="D14" s="39"/>
      <c r="E14" s="38" t="s">
        <v>51</v>
      </c>
      <c r="F14" s="38" t="s">
        <v>1336</v>
      </c>
      <c r="G14" s="38" t="s">
        <v>1863</v>
      </c>
      <c r="H14" s="38" t="s">
        <v>1860</v>
      </c>
      <c r="I14" s="38" t="s">
        <v>93</v>
      </c>
      <c r="J14" s="39">
        <v>1</v>
      </c>
      <c r="K14" s="89" t="s">
        <v>1346</v>
      </c>
      <c r="L14" s="39">
        <v>20</v>
      </c>
      <c r="M14" s="38" t="s">
        <v>51</v>
      </c>
      <c r="N14" s="38" t="s">
        <v>1333</v>
      </c>
      <c r="O14" s="38" t="s">
        <v>1334</v>
      </c>
      <c r="P14" s="38" t="s">
        <v>1335</v>
      </c>
      <c r="R14" t="str">
        <f t="shared" si="0"/>
        <v>케이블클램프 케이블클램프, 접지크램프, 22C</v>
      </c>
    </row>
    <row r="15" spans="1:24" ht="20.100000000000001" customHeight="1" x14ac:dyDescent="0.3">
      <c r="A15" s="38" t="s">
        <v>51</v>
      </c>
      <c r="B15" s="38" t="s">
        <v>51</v>
      </c>
      <c r="C15" s="38" t="s">
        <v>51</v>
      </c>
      <c r="D15" s="39"/>
      <c r="E15" s="38" t="s">
        <v>51</v>
      </c>
      <c r="F15" s="38" t="s">
        <v>1338</v>
      </c>
      <c r="G15" s="38" t="s">
        <v>72</v>
      </c>
      <c r="H15" s="38" t="s">
        <v>78</v>
      </c>
      <c r="I15" s="38" t="s">
        <v>74</v>
      </c>
      <c r="J15" s="39">
        <v>1</v>
      </c>
      <c r="K15" s="89" t="s">
        <v>1345</v>
      </c>
      <c r="L15" s="39">
        <v>30</v>
      </c>
      <c r="M15" s="38" t="s">
        <v>51</v>
      </c>
      <c r="N15" s="38" t="s">
        <v>1333</v>
      </c>
      <c r="O15" s="38" t="s">
        <v>1334</v>
      </c>
      <c r="P15" s="38" t="s">
        <v>1335</v>
      </c>
      <c r="R15" t="str">
        <f t="shared" si="0"/>
        <v>강제 전선관 아연도  22 mm</v>
      </c>
    </row>
    <row r="16" spans="1:24" ht="20.100000000000001" customHeight="1" x14ac:dyDescent="0.3">
      <c r="A16" s="38" t="s">
        <v>51</v>
      </c>
      <c r="B16" s="38" t="s">
        <v>51</v>
      </c>
      <c r="C16" s="38" t="s">
        <v>51</v>
      </c>
      <c r="D16" s="39"/>
      <c r="E16" s="38" t="s">
        <v>51</v>
      </c>
      <c r="F16" s="38" t="s">
        <v>1336</v>
      </c>
      <c r="G16" s="38" t="s">
        <v>1869</v>
      </c>
      <c r="H16" s="38" t="s">
        <v>1850</v>
      </c>
      <c r="I16" s="38" t="s">
        <v>1870</v>
      </c>
      <c r="J16" s="94">
        <v>1</v>
      </c>
      <c r="K16" s="95">
        <f>(L9+L12+L15)/1.5*0.2*2.6</f>
        <v>44.72</v>
      </c>
      <c r="L16" s="94">
        <f>K16</f>
        <v>44.72</v>
      </c>
      <c r="M16" s="38" t="s">
        <v>51</v>
      </c>
      <c r="N16" s="38" t="s">
        <v>1333</v>
      </c>
      <c r="O16" s="38" t="s">
        <v>1334</v>
      </c>
      <c r="P16" s="38" t="s">
        <v>1335</v>
      </c>
      <c r="R16" t="str">
        <f t="shared" si="0"/>
        <v>"U"-CHANNEL 41*41*t2.6mm</v>
      </c>
      <c r="X16" t="s">
        <v>1874</v>
      </c>
    </row>
    <row r="17" spans="1:18" ht="20.100000000000001" customHeight="1" x14ac:dyDescent="0.3">
      <c r="A17" s="38" t="s">
        <v>51</v>
      </c>
      <c r="B17" s="38" t="s">
        <v>51</v>
      </c>
      <c r="C17" s="38" t="s">
        <v>51</v>
      </c>
      <c r="D17" s="39"/>
      <c r="E17" s="38" t="s">
        <v>51</v>
      </c>
      <c r="F17" s="38" t="s">
        <v>51</v>
      </c>
      <c r="G17" s="38" t="s">
        <v>51</v>
      </c>
      <c r="H17" s="38" t="s">
        <v>51</v>
      </c>
      <c r="I17" s="38" t="s">
        <v>51</v>
      </c>
      <c r="J17" s="39"/>
      <c r="K17" s="89" t="s">
        <v>51</v>
      </c>
      <c r="L17" s="39"/>
      <c r="M17" s="38" t="s">
        <v>51</v>
      </c>
      <c r="N17" s="38" t="s">
        <v>51</v>
      </c>
      <c r="O17" s="38" t="s">
        <v>51</v>
      </c>
      <c r="P17" s="38" t="s">
        <v>51</v>
      </c>
      <c r="R17" t="str">
        <f t="shared" si="0"/>
        <v xml:space="preserve"> </v>
      </c>
    </row>
    <row r="18" spans="1:18" ht="20.100000000000001" customHeight="1" x14ac:dyDescent="0.3">
      <c r="A18" s="38" t="s">
        <v>1347</v>
      </c>
      <c r="B18" s="38" t="s">
        <v>51</v>
      </c>
      <c r="C18" s="38" t="s">
        <v>51</v>
      </c>
      <c r="D18" s="39"/>
      <c r="E18" s="38" t="s">
        <v>51</v>
      </c>
      <c r="F18" s="38" t="s">
        <v>51</v>
      </c>
      <c r="G18" s="38" t="s">
        <v>51</v>
      </c>
      <c r="H18" s="38" t="s">
        <v>51</v>
      </c>
      <c r="I18" s="38" t="s">
        <v>51</v>
      </c>
      <c r="J18" s="39"/>
      <c r="K18" s="89" t="s">
        <v>51</v>
      </c>
      <c r="L18" s="39"/>
      <c r="M18" s="38" t="s">
        <v>51</v>
      </c>
      <c r="N18" s="38" t="s">
        <v>51</v>
      </c>
      <c r="O18" s="38" t="s">
        <v>51</v>
      </c>
      <c r="P18" s="38" t="s">
        <v>51</v>
      </c>
      <c r="R18" t="str">
        <f t="shared" si="0"/>
        <v xml:space="preserve"> </v>
      </c>
    </row>
    <row r="19" spans="1:18" ht="20.100000000000001" customHeight="1" x14ac:dyDescent="0.3">
      <c r="A19" s="38" t="s">
        <v>51</v>
      </c>
      <c r="B19" s="38" t="s">
        <v>51</v>
      </c>
      <c r="C19" s="38" t="s">
        <v>51</v>
      </c>
      <c r="D19" s="39"/>
      <c r="E19" s="38" t="s">
        <v>51</v>
      </c>
      <c r="F19" s="38" t="s">
        <v>51</v>
      </c>
      <c r="G19" s="38" t="s">
        <v>51</v>
      </c>
      <c r="H19" s="38" t="s">
        <v>51</v>
      </c>
      <c r="I19" s="38" t="s">
        <v>51</v>
      </c>
      <c r="J19" s="39"/>
      <c r="K19" s="89" t="s">
        <v>51</v>
      </c>
      <c r="L19" s="39"/>
      <c r="M19" s="38" t="s">
        <v>51</v>
      </c>
      <c r="N19" s="38" t="s">
        <v>51</v>
      </c>
      <c r="O19" s="38" t="s">
        <v>51</v>
      </c>
      <c r="P19" s="38" t="s">
        <v>51</v>
      </c>
      <c r="R19" t="str">
        <f t="shared" si="0"/>
        <v xml:space="preserve"> </v>
      </c>
    </row>
    <row r="20" spans="1:18" ht="20.100000000000001" customHeight="1" x14ac:dyDescent="0.3">
      <c r="A20" s="38" t="s">
        <v>1348</v>
      </c>
      <c r="B20" s="38" t="s">
        <v>1349</v>
      </c>
      <c r="C20" s="38" t="s">
        <v>1350</v>
      </c>
      <c r="D20" s="39">
        <v>39</v>
      </c>
      <c r="E20" s="38" t="s">
        <v>51</v>
      </c>
      <c r="F20" s="38" t="s">
        <v>1331</v>
      </c>
      <c r="G20" s="38" t="s">
        <v>55</v>
      </c>
      <c r="H20" s="38" t="s">
        <v>63</v>
      </c>
      <c r="I20" s="38" t="s">
        <v>57</v>
      </c>
      <c r="J20" s="39">
        <v>4</v>
      </c>
      <c r="K20" s="89" t="s">
        <v>1351</v>
      </c>
      <c r="L20" s="39">
        <v>156</v>
      </c>
      <c r="M20" s="38" t="s">
        <v>51</v>
      </c>
      <c r="N20" s="38" t="s">
        <v>1333</v>
      </c>
      <c r="O20" s="38" t="s">
        <v>1334</v>
      </c>
      <c r="P20" s="38" t="s">
        <v>1335</v>
      </c>
      <c r="R20" t="str">
        <f t="shared" si="0"/>
        <v>450/75OV 저독성난연가교폴리올레핀절연전선(HFIX) 1.78㎜</v>
      </c>
    </row>
    <row r="21" spans="1:18" ht="20.100000000000001" customHeight="1" x14ac:dyDescent="0.3">
      <c r="A21" s="38" t="s">
        <v>51</v>
      </c>
      <c r="B21" s="38" t="s">
        <v>51</v>
      </c>
      <c r="C21" s="38" t="s">
        <v>51</v>
      </c>
      <c r="D21" s="39"/>
      <c r="E21" s="38" t="s">
        <v>51</v>
      </c>
      <c r="F21" s="38" t="s">
        <v>1336</v>
      </c>
      <c r="G21" s="38" t="s">
        <v>1863</v>
      </c>
      <c r="H21" s="38" t="s">
        <v>1860</v>
      </c>
      <c r="I21" s="38" t="s">
        <v>93</v>
      </c>
      <c r="J21" s="39">
        <v>1</v>
      </c>
      <c r="K21" s="89" t="s">
        <v>1352</v>
      </c>
      <c r="L21" s="39">
        <v>26</v>
      </c>
      <c r="M21" s="38" t="s">
        <v>51</v>
      </c>
      <c r="N21" s="38" t="s">
        <v>1333</v>
      </c>
      <c r="O21" s="38" t="s">
        <v>1334</v>
      </c>
      <c r="P21" s="38" t="s">
        <v>1335</v>
      </c>
      <c r="R21" t="str">
        <f t="shared" si="0"/>
        <v>케이블클램프 케이블클램프, 접지크램프, 22C</v>
      </c>
    </row>
    <row r="22" spans="1:18" ht="20.100000000000001" customHeight="1" x14ac:dyDescent="0.3">
      <c r="A22" s="38" t="s">
        <v>51</v>
      </c>
      <c r="B22" s="38" t="s">
        <v>51</v>
      </c>
      <c r="C22" s="38" t="s">
        <v>51</v>
      </c>
      <c r="D22" s="39"/>
      <c r="E22" s="38" t="s">
        <v>51</v>
      </c>
      <c r="F22" s="38" t="s">
        <v>1338</v>
      </c>
      <c r="G22" s="38" t="s">
        <v>72</v>
      </c>
      <c r="H22" s="38" t="s">
        <v>78</v>
      </c>
      <c r="I22" s="38" t="s">
        <v>74</v>
      </c>
      <c r="J22" s="39">
        <v>1</v>
      </c>
      <c r="K22" s="89" t="s">
        <v>1351</v>
      </c>
      <c r="L22" s="39">
        <v>39</v>
      </c>
      <c r="M22" s="38" t="s">
        <v>51</v>
      </c>
      <c r="N22" s="38" t="s">
        <v>1333</v>
      </c>
      <c r="O22" s="38" t="s">
        <v>1334</v>
      </c>
      <c r="P22" s="38" t="s">
        <v>1335</v>
      </c>
      <c r="R22" t="str">
        <f t="shared" si="0"/>
        <v>강제 전선관 아연도  22 mm</v>
      </c>
    </row>
    <row r="23" spans="1:18" ht="20.100000000000001" customHeight="1" x14ac:dyDescent="0.3">
      <c r="A23" s="38" t="s">
        <v>51</v>
      </c>
      <c r="B23" s="38" t="s">
        <v>51</v>
      </c>
      <c r="C23" s="38" t="s">
        <v>51</v>
      </c>
      <c r="D23" s="39"/>
      <c r="E23" s="38" t="s">
        <v>51</v>
      </c>
      <c r="F23" s="38" t="s">
        <v>1336</v>
      </c>
      <c r="G23" s="38" t="s">
        <v>1869</v>
      </c>
      <c r="H23" s="38" t="s">
        <v>1850</v>
      </c>
      <c r="I23" s="38" t="s">
        <v>1870</v>
      </c>
      <c r="J23" s="94">
        <v>1</v>
      </c>
      <c r="K23" s="95">
        <f>(L22/1.5)*0.2*2.6</f>
        <v>13.520000000000001</v>
      </c>
      <c r="L23" s="94">
        <f>K23</f>
        <v>13.520000000000001</v>
      </c>
      <c r="M23" s="38" t="s">
        <v>51</v>
      </c>
      <c r="N23" s="38" t="s">
        <v>1333</v>
      </c>
      <c r="O23" s="38" t="s">
        <v>1334</v>
      </c>
      <c r="P23" s="38" t="s">
        <v>1335</v>
      </c>
      <c r="R23" t="str">
        <f t="shared" si="0"/>
        <v>"U"-CHANNEL 41*41*t2.6mm</v>
      </c>
    </row>
    <row r="24" spans="1:18" ht="20.100000000000001" customHeight="1" x14ac:dyDescent="0.3">
      <c r="A24" s="38" t="s">
        <v>51</v>
      </c>
      <c r="B24" s="38" t="s">
        <v>51</v>
      </c>
      <c r="C24" s="38" t="s">
        <v>51</v>
      </c>
      <c r="D24" s="39"/>
      <c r="E24" s="38" t="s">
        <v>51</v>
      </c>
      <c r="F24" s="38" t="s">
        <v>51</v>
      </c>
      <c r="G24" s="38" t="s">
        <v>51</v>
      </c>
      <c r="H24" s="38" t="s">
        <v>51</v>
      </c>
      <c r="I24" s="38" t="s">
        <v>51</v>
      </c>
      <c r="J24" s="39"/>
      <c r="K24" s="89" t="s">
        <v>51</v>
      </c>
      <c r="L24" s="39"/>
      <c r="M24" s="38" t="s">
        <v>51</v>
      </c>
      <c r="N24" s="38" t="s">
        <v>51</v>
      </c>
      <c r="O24" s="38" t="s">
        <v>51</v>
      </c>
      <c r="P24" s="38" t="s">
        <v>51</v>
      </c>
      <c r="R24" t="str">
        <f t="shared" si="0"/>
        <v xml:space="preserve"> </v>
      </c>
    </row>
    <row r="25" spans="1:18" ht="20.100000000000001" customHeight="1" x14ac:dyDescent="0.3">
      <c r="A25" s="38" t="s">
        <v>1353</v>
      </c>
      <c r="B25" s="38" t="s">
        <v>51</v>
      </c>
      <c r="C25" s="38" t="s">
        <v>51</v>
      </c>
      <c r="D25" s="39"/>
      <c r="E25" s="38" t="s">
        <v>51</v>
      </c>
      <c r="F25" s="38" t="s">
        <v>51</v>
      </c>
      <c r="G25" s="38" t="s">
        <v>51</v>
      </c>
      <c r="H25" s="38" t="s">
        <v>51</v>
      </c>
      <c r="I25" s="38" t="s">
        <v>51</v>
      </c>
      <c r="J25" s="39"/>
      <c r="K25" s="89" t="s">
        <v>51</v>
      </c>
      <c r="L25" s="39"/>
      <c r="M25" s="38" t="s">
        <v>51</v>
      </c>
      <c r="N25" s="38" t="s">
        <v>51</v>
      </c>
      <c r="O25" s="38" t="s">
        <v>51</v>
      </c>
      <c r="P25" s="38" t="s">
        <v>51</v>
      </c>
      <c r="R25" t="str">
        <f t="shared" si="0"/>
        <v xml:space="preserve"> </v>
      </c>
    </row>
    <row r="26" spans="1:18" ht="20.100000000000001" customHeight="1" x14ac:dyDescent="0.3">
      <c r="A26" s="38" t="s">
        <v>51</v>
      </c>
      <c r="B26" s="38" t="s">
        <v>51</v>
      </c>
      <c r="C26" s="38" t="s">
        <v>51</v>
      </c>
      <c r="D26" s="39"/>
      <c r="E26" s="38" t="s">
        <v>51</v>
      </c>
      <c r="F26" s="38" t="s">
        <v>51</v>
      </c>
      <c r="G26" s="38" t="s">
        <v>51</v>
      </c>
      <c r="H26" s="38" t="s">
        <v>51</v>
      </c>
      <c r="I26" s="38" t="s">
        <v>51</v>
      </c>
      <c r="J26" s="39"/>
      <c r="K26" s="89" t="s">
        <v>51</v>
      </c>
      <c r="L26" s="39"/>
      <c r="M26" s="38" t="s">
        <v>51</v>
      </c>
      <c r="N26" s="38" t="s">
        <v>51</v>
      </c>
      <c r="O26" s="38" t="s">
        <v>51</v>
      </c>
      <c r="P26" s="38" t="s">
        <v>51</v>
      </c>
      <c r="R26" t="str">
        <f t="shared" si="0"/>
        <v xml:space="preserve"> </v>
      </c>
    </row>
    <row r="27" spans="1:18" ht="20.100000000000001" customHeight="1" x14ac:dyDescent="0.3">
      <c r="A27" s="38" t="s">
        <v>150</v>
      </c>
      <c r="B27" s="38" t="s">
        <v>820</v>
      </c>
      <c r="C27" s="38" t="s">
        <v>1354</v>
      </c>
      <c r="D27" s="39">
        <v>2</v>
      </c>
      <c r="E27" s="38" t="s">
        <v>51</v>
      </c>
      <c r="F27" s="38" t="s">
        <v>1355</v>
      </c>
      <c r="G27" s="38" t="s">
        <v>150</v>
      </c>
      <c r="H27" s="38" t="s">
        <v>151</v>
      </c>
      <c r="I27" s="38" t="s">
        <v>132</v>
      </c>
      <c r="J27" s="39">
        <v>1</v>
      </c>
      <c r="K27" s="89" t="s">
        <v>1354</v>
      </c>
      <c r="L27" s="39">
        <v>2</v>
      </c>
      <c r="M27" s="38" t="s">
        <v>51</v>
      </c>
      <c r="N27" s="38" t="s">
        <v>1333</v>
      </c>
      <c r="O27" s="38" t="s">
        <v>1334</v>
      </c>
      <c r="P27" s="38" t="s">
        <v>1335</v>
      </c>
      <c r="R27" t="str">
        <f t="shared" si="0"/>
        <v>자동폐쇄장치-창문형 DC-24V</v>
      </c>
    </row>
    <row r="28" spans="1:18" ht="20.100000000000001" customHeight="1" x14ac:dyDescent="0.3">
      <c r="A28" s="38" t="s">
        <v>155</v>
      </c>
      <c r="B28" s="38" t="s">
        <v>820</v>
      </c>
      <c r="C28" s="38" t="s">
        <v>1356</v>
      </c>
      <c r="D28" s="39">
        <v>10</v>
      </c>
      <c r="E28" s="38" t="s">
        <v>51</v>
      </c>
      <c r="F28" s="38" t="s">
        <v>1357</v>
      </c>
      <c r="G28" s="38" t="s">
        <v>155</v>
      </c>
      <c r="H28" s="38" t="s">
        <v>151</v>
      </c>
      <c r="I28" s="38" t="s">
        <v>132</v>
      </c>
      <c r="J28" s="39">
        <v>1</v>
      </c>
      <c r="K28" s="89" t="s">
        <v>1356</v>
      </c>
      <c r="L28" s="39">
        <v>10</v>
      </c>
      <c r="M28" s="38" t="s">
        <v>51</v>
      </c>
      <c r="N28" s="38" t="s">
        <v>1333</v>
      </c>
      <c r="O28" s="38" t="s">
        <v>1334</v>
      </c>
      <c r="P28" s="38" t="s">
        <v>1335</v>
      </c>
      <c r="R28" t="str">
        <f t="shared" si="0"/>
        <v>자동폐쇄장치-방화문 DC-24V</v>
      </c>
    </row>
    <row r="29" spans="1:18" ht="20.100000000000001" customHeight="1" x14ac:dyDescent="0.3">
      <c r="A29" s="38" t="s">
        <v>604</v>
      </c>
      <c r="B29" s="38" t="s">
        <v>1358</v>
      </c>
      <c r="C29" s="38" t="s">
        <v>1359</v>
      </c>
      <c r="D29" s="39">
        <v>8</v>
      </c>
      <c r="E29" s="38" t="s">
        <v>51</v>
      </c>
      <c r="F29" s="38" t="s">
        <v>1360</v>
      </c>
      <c r="G29" s="38" t="s">
        <v>116</v>
      </c>
      <c r="H29" s="38" t="s">
        <v>117</v>
      </c>
      <c r="I29" s="38" t="s">
        <v>93</v>
      </c>
      <c r="J29" s="39">
        <v>1</v>
      </c>
      <c r="K29" s="89" t="s">
        <v>1359</v>
      </c>
      <c r="L29" s="39">
        <v>8</v>
      </c>
      <c r="M29" s="38" t="s">
        <v>51</v>
      </c>
      <c r="N29" s="38" t="s">
        <v>1333</v>
      </c>
      <c r="O29" s="38" t="s">
        <v>1334</v>
      </c>
      <c r="P29" s="38" t="s">
        <v>1335</v>
      </c>
      <c r="R29" t="str">
        <f t="shared" si="0"/>
        <v>배관용 구멍뚫기(코어드릴)-Con,c 두께 30cm 이하 ∮25mm, 벽</v>
      </c>
    </row>
    <row r="30" spans="1:18" ht="20.100000000000001" customHeight="1" x14ac:dyDescent="0.3">
      <c r="A30" s="38" t="s">
        <v>51</v>
      </c>
      <c r="B30" s="38" t="s">
        <v>51</v>
      </c>
      <c r="C30" s="38" t="s">
        <v>51</v>
      </c>
      <c r="D30" s="39"/>
      <c r="E30" s="38" t="s">
        <v>51</v>
      </c>
      <c r="F30" s="38" t="s">
        <v>969</v>
      </c>
      <c r="G30" s="38" t="s">
        <v>200</v>
      </c>
      <c r="H30" s="38" t="s">
        <v>201</v>
      </c>
      <c r="I30" s="38" t="s">
        <v>132</v>
      </c>
      <c r="J30" s="39">
        <v>1</v>
      </c>
      <c r="K30" s="89" t="s">
        <v>1359</v>
      </c>
      <c r="L30" s="39">
        <v>8</v>
      </c>
      <c r="M30" s="38" t="s">
        <v>51</v>
      </c>
      <c r="N30" s="38" t="s">
        <v>1333</v>
      </c>
      <c r="O30" s="38" t="s">
        <v>1334</v>
      </c>
      <c r="P30" s="38" t="s">
        <v>1335</v>
      </c>
      <c r="R30" t="str">
        <f t="shared" si="0"/>
        <v>방화실리콘 실란트 300ml</v>
      </c>
    </row>
    <row r="31" spans="1:18" ht="20.100000000000001" customHeight="1" x14ac:dyDescent="0.3">
      <c r="A31" s="38" t="s">
        <v>215</v>
      </c>
      <c r="B31" s="38" t="s">
        <v>215</v>
      </c>
      <c r="C31" s="38" t="s">
        <v>1361</v>
      </c>
      <c r="D31" s="39">
        <v>1</v>
      </c>
      <c r="E31" s="38" t="s">
        <v>51</v>
      </c>
      <c r="F31" s="38" t="s">
        <v>1008</v>
      </c>
      <c r="G31" s="38" t="s">
        <v>215</v>
      </c>
      <c r="H31" s="38" t="s">
        <v>51</v>
      </c>
      <c r="I31" s="38" t="s">
        <v>216</v>
      </c>
      <c r="J31" s="39">
        <v>1</v>
      </c>
      <c r="K31" s="89" t="s">
        <v>1361</v>
      </c>
      <c r="L31" s="39">
        <v>1</v>
      </c>
      <c r="M31" s="38" t="s">
        <v>51</v>
      </c>
      <c r="N31" s="38" t="s">
        <v>1333</v>
      </c>
      <c r="O31" s="38" t="s">
        <v>1334</v>
      </c>
      <c r="P31" s="38" t="s">
        <v>1335</v>
      </c>
      <c r="R31" t="str">
        <f t="shared" si="0"/>
        <v xml:space="preserve">방화포 </v>
      </c>
    </row>
    <row r="32" spans="1:18" ht="20.100000000000001" customHeight="1" x14ac:dyDescent="0.3">
      <c r="A32" s="38" t="s">
        <v>168</v>
      </c>
      <c r="B32" s="38" t="s">
        <v>1362</v>
      </c>
      <c r="C32" s="38" t="s">
        <v>1363</v>
      </c>
      <c r="D32" s="39">
        <v>16</v>
      </c>
      <c r="E32" s="38" t="s">
        <v>51</v>
      </c>
      <c r="F32" s="38" t="s">
        <v>1364</v>
      </c>
      <c r="G32" s="38" t="s">
        <v>168</v>
      </c>
      <c r="H32" s="38" t="s">
        <v>1849</v>
      </c>
      <c r="I32" s="38" t="s">
        <v>1365</v>
      </c>
      <c r="J32" s="39">
        <v>1</v>
      </c>
      <c r="K32" s="89" t="s">
        <v>1366</v>
      </c>
      <c r="L32" s="39">
        <v>16</v>
      </c>
      <c r="M32" s="38" t="s">
        <v>51</v>
      </c>
      <c r="N32" s="38" t="s">
        <v>1333</v>
      </c>
      <c r="O32" s="38" t="s">
        <v>1334</v>
      </c>
      <c r="P32" s="38" t="s">
        <v>1335</v>
      </c>
      <c r="R32" t="str">
        <f t="shared" si="0"/>
        <v>걸이시설설치 생명줄포함</v>
      </c>
    </row>
    <row r="33" spans="1:18" ht="20.100000000000001" customHeight="1" x14ac:dyDescent="0.3">
      <c r="A33" s="38" t="s">
        <v>1367</v>
      </c>
      <c r="B33" s="38" t="s">
        <v>1368</v>
      </c>
      <c r="C33" s="38" t="s">
        <v>1361</v>
      </c>
      <c r="D33" s="39">
        <v>1</v>
      </c>
      <c r="E33" s="38" t="s">
        <v>51</v>
      </c>
      <c r="F33" s="38" t="s">
        <v>998</v>
      </c>
      <c r="G33" s="38" t="s">
        <v>209</v>
      </c>
      <c r="H33" s="38" t="s">
        <v>210</v>
      </c>
      <c r="I33" s="38" t="s">
        <v>211</v>
      </c>
      <c r="J33" s="39">
        <v>1</v>
      </c>
      <c r="K33" s="89" t="s">
        <v>1361</v>
      </c>
      <c r="L33" s="39">
        <v>1</v>
      </c>
      <c r="M33" s="38" t="s">
        <v>51</v>
      </c>
      <c r="N33" s="38" t="s">
        <v>1333</v>
      </c>
      <c r="O33" s="38" t="s">
        <v>1334</v>
      </c>
      <c r="P33" s="38" t="s">
        <v>1335</v>
      </c>
      <c r="R33" t="str">
        <f t="shared" si="0"/>
        <v>화물트럭 운반비 1TON 기준</v>
      </c>
    </row>
    <row r="34" spans="1:18" ht="20.100000000000001" customHeight="1" x14ac:dyDescent="0.3">
      <c r="A34" s="38" t="s">
        <v>51</v>
      </c>
      <c r="B34" s="38" t="s">
        <v>51</v>
      </c>
      <c r="C34" s="38" t="s">
        <v>51</v>
      </c>
      <c r="D34" s="39"/>
      <c r="E34" s="38" t="s">
        <v>51</v>
      </c>
      <c r="F34" s="38" t="s">
        <v>51</v>
      </c>
      <c r="G34" s="38" t="s">
        <v>51</v>
      </c>
      <c r="H34" s="38" t="s">
        <v>51</v>
      </c>
      <c r="I34" s="38" t="s">
        <v>51</v>
      </c>
      <c r="J34" s="39"/>
      <c r="K34" s="89" t="s">
        <v>51</v>
      </c>
      <c r="L34" s="39"/>
      <c r="M34" s="38" t="s">
        <v>51</v>
      </c>
      <c r="N34" s="38" t="s">
        <v>51</v>
      </c>
      <c r="O34" s="38" t="s">
        <v>51</v>
      </c>
      <c r="P34" s="38" t="s">
        <v>51</v>
      </c>
      <c r="R34" t="str">
        <f t="shared" si="0"/>
        <v xml:space="preserve"> </v>
      </c>
    </row>
    <row r="35" spans="1:18" ht="20.100000000000001" customHeight="1" x14ac:dyDescent="0.3">
      <c r="A35" s="38" t="s">
        <v>51</v>
      </c>
      <c r="B35" s="38" t="s">
        <v>51</v>
      </c>
      <c r="C35" s="38" t="s">
        <v>51</v>
      </c>
      <c r="D35" s="39"/>
      <c r="E35" s="38" t="s">
        <v>51</v>
      </c>
      <c r="F35" s="38" t="s">
        <v>51</v>
      </c>
      <c r="G35" s="38" t="s">
        <v>51</v>
      </c>
      <c r="H35" s="38" t="s">
        <v>51</v>
      </c>
      <c r="I35" s="38" t="s">
        <v>51</v>
      </c>
      <c r="J35" s="39"/>
      <c r="K35" s="89" t="s">
        <v>51</v>
      </c>
      <c r="L35" s="39"/>
      <c r="M35" s="38" t="s">
        <v>51</v>
      </c>
      <c r="N35" s="38" t="s">
        <v>51</v>
      </c>
      <c r="O35" s="38" t="s">
        <v>51</v>
      </c>
      <c r="P35" s="38" t="s">
        <v>51</v>
      </c>
      <c r="R35" t="str">
        <f t="shared" si="0"/>
        <v xml:space="preserve"> </v>
      </c>
    </row>
    <row r="36" spans="1:18" ht="20.100000000000001" customHeight="1" x14ac:dyDescent="0.3">
      <c r="A36" s="38" t="s">
        <v>1369</v>
      </c>
      <c r="B36" s="38" t="s">
        <v>51</v>
      </c>
      <c r="C36" s="38" t="s">
        <v>51</v>
      </c>
      <c r="D36" s="39"/>
      <c r="E36" s="38" t="s">
        <v>51</v>
      </c>
      <c r="F36" s="38" t="s">
        <v>51</v>
      </c>
      <c r="G36" s="38" t="s">
        <v>51</v>
      </c>
      <c r="H36" s="38" t="s">
        <v>51</v>
      </c>
      <c r="I36" s="38" t="s">
        <v>51</v>
      </c>
      <c r="J36" s="39"/>
      <c r="K36" s="89" t="s">
        <v>51</v>
      </c>
      <c r="L36" s="39"/>
      <c r="M36" s="38" t="s">
        <v>51</v>
      </c>
      <c r="N36" s="38" t="s">
        <v>51</v>
      </c>
      <c r="O36" s="38" t="s">
        <v>51</v>
      </c>
      <c r="P36" s="38" t="s">
        <v>51</v>
      </c>
      <c r="R36" t="str">
        <f t="shared" si="0"/>
        <v xml:space="preserve"> </v>
      </c>
    </row>
    <row r="37" spans="1:18" ht="20.100000000000001" customHeight="1" x14ac:dyDescent="0.3">
      <c r="A37" s="38" t="s">
        <v>51</v>
      </c>
      <c r="B37" s="38" t="s">
        <v>51</v>
      </c>
      <c r="C37" s="38" t="s">
        <v>51</v>
      </c>
      <c r="D37" s="39"/>
      <c r="E37" s="38" t="s">
        <v>51</v>
      </c>
      <c r="F37" s="38" t="s">
        <v>51</v>
      </c>
      <c r="G37" s="38" t="s">
        <v>51</v>
      </c>
      <c r="H37" s="38" t="s">
        <v>51</v>
      </c>
      <c r="I37" s="38" t="s">
        <v>51</v>
      </c>
      <c r="J37" s="39"/>
      <c r="K37" s="89" t="s">
        <v>51</v>
      </c>
      <c r="L37" s="39"/>
      <c r="M37" s="38" t="s">
        <v>51</v>
      </c>
      <c r="N37" s="38" t="s">
        <v>51</v>
      </c>
      <c r="O37" s="38" t="s">
        <v>51</v>
      </c>
      <c r="P37" s="38" t="s">
        <v>51</v>
      </c>
      <c r="R37" t="str">
        <f t="shared" si="0"/>
        <v xml:space="preserve"> </v>
      </c>
    </row>
    <row r="38" spans="1:18" ht="20.100000000000001" customHeight="1" x14ac:dyDescent="0.3">
      <c r="A38" s="38" t="s">
        <v>1294</v>
      </c>
      <c r="B38" s="38" t="s">
        <v>173</v>
      </c>
      <c r="C38" s="38" t="s">
        <v>1370</v>
      </c>
      <c r="D38" s="39">
        <v>20</v>
      </c>
      <c r="E38" s="38" t="s">
        <v>51</v>
      </c>
      <c r="F38" s="38" t="s">
        <v>1371</v>
      </c>
      <c r="G38" s="38" t="s">
        <v>173</v>
      </c>
      <c r="H38" s="38" t="s">
        <v>51</v>
      </c>
      <c r="I38" s="38" t="s">
        <v>132</v>
      </c>
      <c r="J38" s="39">
        <v>1</v>
      </c>
      <c r="K38" s="89" t="s">
        <v>1372</v>
      </c>
      <c r="L38" s="39">
        <v>20</v>
      </c>
      <c r="M38" s="38" t="s">
        <v>51</v>
      </c>
      <c r="N38" s="38" t="s">
        <v>1333</v>
      </c>
      <c r="O38" s="38" t="s">
        <v>1334</v>
      </c>
      <c r="P38" s="38" t="s">
        <v>1335</v>
      </c>
      <c r="R38" t="str">
        <f t="shared" si="0"/>
        <v xml:space="preserve">화재감지기 - 철거 </v>
      </c>
    </row>
    <row r="39" spans="1:18" ht="20.100000000000001" customHeight="1" x14ac:dyDescent="0.3">
      <c r="A39" s="38" t="s">
        <v>1298</v>
      </c>
      <c r="B39" s="38" t="s">
        <v>177</v>
      </c>
      <c r="C39" s="38" t="s">
        <v>1373</v>
      </c>
      <c r="D39" s="39">
        <v>6</v>
      </c>
      <c r="E39" s="38" t="s">
        <v>51</v>
      </c>
      <c r="F39" s="38" t="s">
        <v>1374</v>
      </c>
      <c r="G39" s="38" t="s">
        <v>177</v>
      </c>
      <c r="H39" s="38" t="s">
        <v>51</v>
      </c>
      <c r="I39" s="38" t="s">
        <v>74</v>
      </c>
      <c r="J39" s="39">
        <v>1</v>
      </c>
      <c r="K39" s="89" t="s">
        <v>1373</v>
      </c>
      <c r="L39" s="39">
        <v>6</v>
      </c>
      <c r="M39" s="38" t="s">
        <v>51</v>
      </c>
      <c r="N39" s="38" t="s">
        <v>1333</v>
      </c>
      <c r="O39" s="38" t="s">
        <v>1334</v>
      </c>
      <c r="P39" s="38" t="s">
        <v>1335</v>
      </c>
      <c r="R39" t="str">
        <f t="shared" si="0"/>
        <v xml:space="preserve">전자싸이렌 - 철거 </v>
      </c>
    </row>
    <row r="40" spans="1:18" ht="20.100000000000001" customHeight="1" x14ac:dyDescent="0.3">
      <c r="A40" s="38" t="s">
        <v>1375</v>
      </c>
      <c r="B40" s="38" t="s">
        <v>205</v>
      </c>
      <c r="C40" s="38" t="s">
        <v>1376</v>
      </c>
      <c r="D40" s="39">
        <v>10</v>
      </c>
      <c r="E40" s="38" t="s">
        <v>51</v>
      </c>
      <c r="F40" s="38" t="s">
        <v>978</v>
      </c>
      <c r="G40" s="38" t="s">
        <v>205</v>
      </c>
      <c r="H40" s="38" t="s">
        <v>51</v>
      </c>
      <c r="I40" s="38" t="s">
        <v>132</v>
      </c>
      <c r="J40" s="39">
        <v>1</v>
      </c>
      <c r="K40" s="89" t="s">
        <v>1356</v>
      </c>
      <c r="L40" s="39">
        <v>10</v>
      </c>
      <c r="M40" s="38" t="s">
        <v>51</v>
      </c>
      <c r="N40" s="38" t="s">
        <v>1333</v>
      </c>
      <c r="O40" s="38" t="s">
        <v>1334</v>
      </c>
      <c r="P40" s="38" t="s">
        <v>1335</v>
      </c>
      <c r="R40" t="str">
        <f t="shared" si="0"/>
        <v xml:space="preserve">PVC 파이프 캡 </v>
      </c>
    </row>
    <row r="41" spans="1:18" x14ac:dyDescent="0.3">
      <c r="A41" s="9" t="s">
        <v>51</v>
      </c>
      <c r="B41" s="9" t="s">
        <v>51</v>
      </c>
      <c r="C41" s="9" t="s">
        <v>51</v>
      </c>
      <c r="E41" s="9" t="s">
        <v>51</v>
      </c>
      <c r="F41" s="9" t="s">
        <v>51</v>
      </c>
      <c r="G41" s="9" t="s">
        <v>51</v>
      </c>
      <c r="H41" s="9" t="s">
        <v>51</v>
      </c>
      <c r="I41" s="9" t="s">
        <v>51</v>
      </c>
      <c r="K41" s="91" t="s">
        <v>51</v>
      </c>
      <c r="M41" s="9" t="s">
        <v>51</v>
      </c>
      <c r="N41" s="9" t="s">
        <v>51</v>
      </c>
      <c r="O41" s="9" t="s">
        <v>51</v>
      </c>
      <c r="P41" s="9" t="s">
        <v>51</v>
      </c>
      <c r="R41" t="str">
        <f t="shared" si="0"/>
        <v xml:space="preserve"> </v>
      </c>
    </row>
    <row r="42" spans="1:18" ht="20.100000000000001" customHeight="1" x14ac:dyDescent="0.3">
      <c r="A42" s="117" t="s">
        <v>1377</v>
      </c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R42" t="str">
        <f t="shared" si="0"/>
        <v xml:space="preserve"> </v>
      </c>
    </row>
    <row r="43" spans="1:18" ht="30" customHeight="1" x14ac:dyDescent="0.3">
      <c r="A43" s="37" t="s">
        <v>1314</v>
      </c>
      <c r="B43" s="37" t="s">
        <v>1315</v>
      </c>
      <c r="C43" s="37" t="s">
        <v>1316</v>
      </c>
      <c r="D43" s="37" t="s">
        <v>1317</v>
      </c>
      <c r="E43" s="37" t="s">
        <v>12</v>
      </c>
      <c r="F43" s="37" t="s">
        <v>1318</v>
      </c>
      <c r="G43" s="37" t="s">
        <v>1319</v>
      </c>
      <c r="H43" s="37" t="s">
        <v>1320</v>
      </c>
      <c r="I43" s="37" t="s">
        <v>4</v>
      </c>
      <c r="J43" s="37" t="s">
        <v>1321</v>
      </c>
      <c r="K43" s="90" t="s">
        <v>1322</v>
      </c>
      <c r="L43" s="37" t="s">
        <v>1323</v>
      </c>
      <c r="M43" s="37" t="s">
        <v>12</v>
      </c>
      <c r="N43" s="37" t="s">
        <v>1324</v>
      </c>
      <c r="O43" s="37" t="s">
        <v>1325</v>
      </c>
      <c r="P43" s="37" t="s">
        <v>1326</v>
      </c>
      <c r="R43" t="str">
        <f t="shared" si="0"/>
        <v>품        명 규        격</v>
      </c>
    </row>
    <row r="44" spans="1:18" ht="20.100000000000001" customHeight="1" x14ac:dyDescent="0.3">
      <c r="A44" s="38" t="s">
        <v>1378</v>
      </c>
      <c r="B44" s="38" t="s">
        <v>51</v>
      </c>
      <c r="C44" s="38" t="s">
        <v>51</v>
      </c>
      <c r="D44" s="39"/>
      <c r="E44" s="38" t="s">
        <v>51</v>
      </c>
      <c r="F44" s="38" t="s">
        <v>51</v>
      </c>
      <c r="G44" s="38" t="s">
        <v>51</v>
      </c>
      <c r="H44" s="38" t="s">
        <v>51</v>
      </c>
      <c r="I44" s="38" t="s">
        <v>51</v>
      </c>
      <c r="J44" s="39"/>
      <c r="K44" s="89" t="s">
        <v>51</v>
      </c>
      <c r="L44" s="39"/>
      <c r="M44" s="38" t="s">
        <v>51</v>
      </c>
      <c r="N44" s="38" t="s">
        <v>51</v>
      </c>
      <c r="O44" s="38" t="s">
        <v>51</v>
      </c>
      <c r="P44" s="38" t="s">
        <v>51</v>
      </c>
      <c r="R44" t="str">
        <f t="shared" si="0"/>
        <v xml:space="preserve"> </v>
      </c>
    </row>
    <row r="45" spans="1:18" ht="20.100000000000001" customHeight="1" x14ac:dyDescent="0.3">
      <c r="A45" s="38" t="s">
        <v>51</v>
      </c>
      <c r="B45" s="38" t="s">
        <v>51</v>
      </c>
      <c r="C45" s="38" t="s">
        <v>51</v>
      </c>
      <c r="D45" s="39"/>
      <c r="E45" s="38" t="s">
        <v>51</v>
      </c>
      <c r="F45" s="38" t="s">
        <v>51</v>
      </c>
      <c r="G45" s="38" t="s">
        <v>51</v>
      </c>
      <c r="H45" s="38" t="s">
        <v>51</v>
      </c>
      <c r="I45" s="38" t="s">
        <v>51</v>
      </c>
      <c r="J45" s="39"/>
      <c r="K45" s="89" t="s">
        <v>51</v>
      </c>
      <c r="L45" s="39"/>
      <c r="M45" s="38" t="s">
        <v>51</v>
      </c>
      <c r="N45" s="38" t="s">
        <v>51</v>
      </c>
      <c r="O45" s="38" t="s">
        <v>51</v>
      </c>
      <c r="P45" s="38" t="s">
        <v>51</v>
      </c>
      <c r="R45" t="str">
        <f t="shared" si="0"/>
        <v xml:space="preserve"> </v>
      </c>
    </row>
    <row r="46" spans="1:18" ht="20.100000000000001" customHeight="1" x14ac:dyDescent="0.3">
      <c r="A46" s="38" t="s">
        <v>1379</v>
      </c>
      <c r="B46" s="38" t="s">
        <v>1380</v>
      </c>
      <c r="C46" s="38" t="s">
        <v>1372</v>
      </c>
      <c r="D46" s="39">
        <v>20</v>
      </c>
      <c r="E46" s="38" t="s">
        <v>51</v>
      </c>
      <c r="F46" s="38" t="s">
        <v>1331</v>
      </c>
      <c r="G46" s="38" t="s">
        <v>55</v>
      </c>
      <c r="H46" s="38" t="s">
        <v>63</v>
      </c>
      <c r="I46" s="38" t="s">
        <v>57</v>
      </c>
      <c r="J46" s="39">
        <v>2</v>
      </c>
      <c r="K46" s="89" t="s">
        <v>1372</v>
      </c>
      <c r="L46" s="39">
        <v>40</v>
      </c>
      <c r="M46" s="38" t="s">
        <v>51</v>
      </c>
      <c r="N46" s="38" t="s">
        <v>1381</v>
      </c>
      <c r="O46" s="38" t="s">
        <v>1382</v>
      </c>
      <c r="P46" s="38" t="s">
        <v>1335</v>
      </c>
      <c r="R46" t="str">
        <f t="shared" si="0"/>
        <v>450/75OV 저독성난연가교폴리올레핀절연전선(HFIX) 1.78㎜</v>
      </c>
    </row>
    <row r="47" spans="1:18" ht="20.100000000000001" customHeight="1" x14ac:dyDescent="0.3">
      <c r="A47" s="38" t="s">
        <v>51</v>
      </c>
      <c r="B47" s="38" t="s">
        <v>51</v>
      </c>
      <c r="C47" s="38" t="s">
        <v>51</v>
      </c>
      <c r="D47" s="39"/>
      <c r="E47" s="38" t="s">
        <v>51</v>
      </c>
      <c r="F47" s="38" t="s">
        <v>1383</v>
      </c>
      <c r="G47" s="38" t="s">
        <v>1863</v>
      </c>
      <c r="H47" s="38" t="s">
        <v>1864</v>
      </c>
      <c r="I47" s="38" t="s">
        <v>93</v>
      </c>
      <c r="J47" s="39">
        <v>1</v>
      </c>
      <c r="K47" s="89" t="s">
        <v>1384</v>
      </c>
      <c r="L47" s="39">
        <v>13.333</v>
      </c>
      <c r="M47" s="38" t="s">
        <v>51</v>
      </c>
      <c r="N47" s="38" t="s">
        <v>1381</v>
      </c>
      <c r="O47" s="38" t="s">
        <v>1382</v>
      </c>
      <c r="P47" s="38" t="s">
        <v>1335</v>
      </c>
      <c r="R47" t="str">
        <f t="shared" si="0"/>
        <v>케이블클램프 케이블클램프, 접지크램프, 16C</v>
      </c>
    </row>
    <row r="48" spans="1:18" ht="20.100000000000001" customHeight="1" x14ac:dyDescent="0.3">
      <c r="A48" s="38" t="s">
        <v>51</v>
      </c>
      <c r="B48" s="38" t="s">
        <v>51</v>
      </c>
      <c r="C48" s="38" t="s">
        <v>51</v>
      </c>
      <c r="D48" s="39"/>
      <c r="E48" s="38" t="s">
        <v>51</v>
      </c>
      <c r="F48" s="38" t="s">
        <v>1385</v>
      </c>
      <c r="G48" s="38" t="s">
        <v>72</v>
      </c>
      <c r="H48" s="38" t="s">
        <v>73</v>
      </c>
      <c r="I48" s="38" t="s">
        <v>74</v>
      </c>
      <c r="J48" s="39">
        <v>1</v>
      </c>
      <c r="K48" s="89" t="s">
        <v>1372</v>
      </c>
      <c r="L48" s="39">
        <v>20</v>
      </c>
      <c r="M48" s="38" t="s">
        <v>51</v>
      </c>
      <c r="N48" s="38" t="s">
        <v>1381</v>
      </c>
      <c r="O48" s="38" t="s">
        <v>1382</v>
      </c>
      <c r="P48" s="38" t="s">
        <v>1335</v>
      </c>
      <c r="R48" t="str">
        <f t="shared" si="0"/>
        <v>강제 전선관 아연도  16 mm</v>
      </c>
    </row>
    <row r="49" spans="1:18" ht="20.100000000000001" customHeight="1" x14ac:dyDescent="0.3">
      <c r="A49" s="38" t="s">
        <v>1386</v>
      </c>
      <c r="B49" s="38" t="s">
        <v>1380</v>
      </c>
      <c r="C49" s="38" t="s">
        <v>1372</v>
      </c>
      <c r="D49" s="39">
        <v>20</v>
      </c>
      <c r="E49" s="38" t="s">
        <v>51</v>
      </c>
      <c r="F49" s="38" t="s">
        <v>1331</v>
      </c>
      <c r="G49" s="38" t="s">
        <v>55</v>
      </c>
      <c r="H49" s="38" t="s">
        <v>63</v>
      </c>
      <c r="I49" s="38" t="s">
        <v>57</v>
      </c>
      <c r="J49" s="39">
        <v>2</v>
      </c>
      <c r="K49" s="89" t="s">
        <v>1372</v>
      </c>
      <c r="L49" s="39">
        <v>40</v>
      </c>
      <c r="M49" s="38" t="s">
        <v>51</v>
      </c>
      <c r="N49" s="38" t="s">
        <v>1381</v>
      </c>
      <c r="O49" s="38" t="s">
        <v>1382</v>
      </c>
      <c r="P49" s="38" t="s">
        <v>1335</v>
      </c>
      <c r="R49" t="str">
        <f t="shared" si="0"/>
        <v>450/75OV 저독성난연가교폴리올레핀절연전선(HFIX) 1.78㎜</v>
      </c>
    </row>
    <row r="50" spans="1:18" ht="20.100000000000001" customHeight="1" x14ac:dyDescent="0.3">
      <c r="A50" s="38" t="s">
        <v>51</v>
      </c>
      <c r="B50" s="38" t="s">
        <v>51</v>
      </c>
      <c r="C50" s="38" t="s">
        <v>51</v>
      </c>
      <c r="D50" s="39"/>
      <c r="E50" s="38" t="s">
        <v>51</v>
      </c>
      <c r="F50" s="38" t="s">
        <v>1383</v>
      </c>
      <c r="G50" s="38" t="s">
        <v>1863</v>
      </c>
      <c r="H50" s="38" t="s">
        <v>1864</v>
      </c>
      <c r="I50" s="38" t="s">
        <v>93</v>
      </c>
      <c r="J50" s="39">
        <v>1</v>
      </c>
      <c r="K50" s="89" t="s">
        <v>1384</v>
      </c>
      <c r="L50" s="39">
        <v>13.333</v>
      </c>
      <c r="M50" s="38" t="s">
        <v>51</v>
      </c>
      <c r="N50" s="38" t="s">
        <v>1381</v>
      </c>
      <c r="O50" s="38" t="s">
        <v>1382</v>
      </c>
      <c r="P50" s="38" t="s">
        <v>1335</v>
      </c>
      <c r="R50" t="str">
        <f t="shared" si="0"/>
        <v>케이블클램프 케이블클램프, 접지크램프, 16C</v>
      </c>
    </row>
    <row r="51" spans="1:18" ht="20.100000000000001" customHeight="1" x14ac:dyDescent="0.3">
      <c r="A51" s="38" t="s">
        <v>51</v>
      </c>
      <c r="B51" s="38" t="s">
        <v>51</v>
      </c>
      <c r="C51" s="38" t="s">
        <v>51</v>
      </c>
      <c r="D51" s="39"/>
      <c r="E51" s="38" t="s">
        <v>51</v>
      </c>
      <c r="F51" s="38" t="s">
        <v>1385</v>
      </c>
      <c r="G51" s="38" t="s">
        <v>72</v>
      </c>
      <c r="H51" s="38" t="s">
        <v>73</v>
      </c>
      <c r="I51" s="38" t="s">
        <v>74</v>
      </c>
      <c r="J51" s="39">
        <v>1</v>
      </c>
      <c r="K51" s="89" t="s">
        <v>1372</v>
      </c>
      <c r="L51" s="39">
        <v>20</v>
      </c>
      <c r="M51" s="38" t="s">
        <v>51</v>
      </c>
      <c r="N51" s="38" t="s">
        <v>1381</v>
      </c>
      <c r="O51" s="38" t="s">
        <v>1382</v>
      </c>
      <c r="P51" s="38" t="s">
        <v>1335</v>
      </c>
      <c r="R51" t="str">
        <f t="shared" si="0"/>
        <v>강제 전선관 아연도  16 mm</v>
      </c>
    </row>
    <row r="52" spans="1:18" ht="20.100000000000001" customHeight="1" x14ac:dyDescent="0.3">
      <c r="A52" s="38" t="s">
        <v>1387</v>
      </c>
      <c r="B52" s="38" t="s">
        <v>1388</v>
      </c>
      <c r="C52" s="38" t="s">
        <v>1356</v>
      </c>
      <c r="D52" s="39">
        <v>10</v>
      </c>
      <c r="E52" s="38" t="s">
        <v>51</v>
      </c>
      <c r="F52" s="38" t="s">
        <v>1389</v>
      </c>
      <c r="G52" s="38" t="s">
        <v>67</v>
      </c>
      <c r="H52" s="38" t="s">
        <v>68</v>
      </c>
      <c r="I52" s="38" t="s">
        <v>57</v>
      </c>
      <c r="J52" s="39">
        <v>1</v>
      </c>
      <c r="K52" s="89" t="s">
        <v>1356</v>
      </c>
      <c r="L52" s="39">
        <v>10</v>
      </c>
      <c r="M52" s="38" t="s">
        <v>51</v>
      </c>
      <c r="N52" s="38" t="s">
        <v>1381</v>
      </c>
      <c r="O52" s="38" t="s">
        <v>1382</v>
      </c>
      <c r="P52" s="38" t="s">
        <v>1335</v>
      </c>
      <c r="R52" t="str">
        <f t="shared" si="0"/>
        <v>0.6/1kV 내화 케이블 (F-FR-8) 3C 2.5㎟</v>
      </c>
    </row>
    <row r="53" spans="1:18" ht="20.100000000000001" customHeight="1" x14ac:dyDescent="0.3">
      <c r="A53" s="38" t="s">
        <v>51</v>
      </c>
      <c r="B53" s="38" t="s">
        <v>51</v>
      </c>
      <c r="C53" s="38" t="s">
        <v>51</v>
      </c>
      <c r="D53" s="39"/>
      <c r="E53" s="38" t="s">
        <v>51</v>
      </c>
      <c r="F53" s="38" t="s">
        <v>1336</v>
      </c>
      <c r="G53" s="38" t="s">
        <v>1869</v>
      </c>
      <c r="H53" s="38" t="s">
        <v>1850</v>
      </c>
      <c r="I53" s="38" t="s">
        <v>1870</v>
      </c>
      <c r="J53" s="94">
        <v>1</v>
      </c>
      <c r="K53" s="95">
        <f>(L48+L51)/1.5*0.2*2.6</f>
        <v>13.866666666666669</v>
      </c>
      <c r="L53" s="94">
        <f>K53</f>
        <v>13.866666666666669</v>
      </c>
      <c r="M53" s="38" t="s">
        <v>51</v>
      </c>
      <c r="N53" s="38" t="s">
        <v>1333</v>
      </c>
      <c r="O53" s="38" t="s">
        <v>1334</v>
      </c>
      <c r="P53" s="38" t="s">
        <v>1335</v>
      </c>
      <c r="R53" t="str">
        <f t="shared" ref="R53" si="1">CONCATENATE(G53," ",H53)</f>
        <v>"U"-CHANNEL 41*41*t2.6mm</v>
      </c>
    </row>
    <row r="54" spans="1:18" ht="20.100000000000001" customHeight="1" x14ac:dyDescent="0.3">
      <c r="A54" s="38" t="s">
        <v>51</v>
      </c>
      <c r="B54" s="38" t="s">
        <v>51</v>
      </c>
      <c r="C54" s="38" t="s">
        <v>51</v>
      </c>
      <c r="D54" s="39"/>
      <c r="E54" s="38" t="s">
        <v>51</v>
      </c>
      <c r="F54" s="38" t="s">
        <v>51</v>
      </c>
      <c r="G54" s="38" t="s">
        <v>51</v>
      </c>
      <c r="H54" s="38" t="s">
        <v>51</v>
      </c>
      <c r="I54" s="38" t="s">
        <v>51</v>
      </c>
      <c r="J54" s="39"/>
      <c r="K54" s="89" t="s">
        <v>51</v>
      </c>
      <c r="L54" s="39"/>
      <c r="M54" s="38" t="s">
        <v>51</v>
      </c>
      <c r="N54" s="38" t="s">
        <v>51</v>
      </c>
      <c r="O54" s="38" t="s">
        <v>51</v>
      </c>
      <c r="P54" s="38" t="s">
        <v>51</v>
      </c>
      <c r="R54" t="str">
        <f t="shared" si="0"/>
        <v xml:space="preserve"> </v>
      </c>
    </row>
    <row r="55" spans="1:18" ht="20.100000000000001" customHeight="1" x14ac:dyDescent="0.3">
      <c r="A55" s="38" t="s">
        <v>51</v>
      </c>
      <c r="B55" s="38" t="s">
        <v>51</v>
      </c>
      <c r="C55" s="38" t="s">
        <v>51</v>
      </c>
      <c r="D55" s="39"/>
      <c r="E55" s="38" t="s">
        <v>51</v>
      </c>
      <c r="F55" s="38" t="s">
        <v>51</v>
      </c>
      <c r="G55" s="38" t="s">
        <v>51</v>
      </c>
      <c r="H55" s="38" t="s">
        <v>51</v>
      </c>
      <c r="I55" s="38" t="s">
        <v>51</v>
      </c>
      <c r="J55" s="39"/>
      <c r="K55" s="89" t="s">
        <v>51</v>
      </c>
      <c r="L55" s="39"/>
      <c r="M55" s="38" t="s">
        <v>51</v>
      </c>
      <c r="N55" s="38" t="s">
        <v>51</v>
      </c>
      <c r="O55" s="38" t="s">
        <v>51</v>
      </c>
      <c r="P55" s="38" t="s">
        <v>51</v>
      </c>
      <c r="R55" t="str">
        <f t="shared" si="0"/>
        <v xml:space="preserve"> </v>
      </c>
    </row>
    <row r="56" spans="1:18" ht="20.100000000000001" customHeight="1" x14ac:dyDescent="0.3">
      <c r="A56" s="38" t="s">
        <v>1390</v>
      </c>
      <c r="B56" s="38" t="s">
        <v>51</v>
      </c>
      <c r="C56" s="38" t="s">
        <v>51</v>
      </c>
      <c r="D56" s="39"/>
      <c r="E56" s="38" t="s">
        <v>51</v>
      </c>
      <c r="F56" s="38" t="s">
        <v>51</v>
      </c>
      <c r="G56" s="38" t="s">
        <v>51</v>
      </c>
      <c r="H56" s="38" t="s">
        <v>51</v>
      </c>
      <c r="I56" s="38" t="s">
        <v>51</v>
      </c>
      <c r="J56" s="39"/>
      <c r="K56" s="89" t="s">
        <v>51</v>
      </c>
      <c r="L56" s="39"/>
      <c r="M56" s="38" t="s">
        <v>51</v>
      </c>
      <c r="N56" s="38" t="s">
        <v>51</v>
      </c>
      <c r="O56" s="38" t="s">
        <v>51</v>
      </c>
      <c r="P56" s="38" t="s">
        <v>51</v>
      </c>
      <c r="R56" t="str">
        <f t="shared" si="0"/>
        <v xml:space="preserve"> </v>
      </c>
    </row>
    <row r="57" spans="1:18" ht="20.100000000000001" customHeight="1" x14ac:dyDescent="0.3">
      <c r="A57" s="38" t="s">
        <v>51</v>
      </c>
      <c r="B57" s="38" t="s">
        <v>51</v>
      </c>
      <c r="C57" s="38" t="s">
        <v>51</v>
      </c>
      <c r="D57" s="39"/>
      <c r="E57" s="38" t="s">
        <v>51</v>
      </c>
      <c r="F57" s="38" t="s">
        <v>51</v>
      </c>
      <c r="G57" s="38" t="s">
        <v>51</v>
      </c>
      <c r="H57" s="38" t="s">
        <v>51</v>
      </c>
      <c r="I57" s="38" t="s">
        <v>51</v>
      </c>
      <c r="J57" s="39"/>
      <c r="K57" s="89" t="s">
        <v>51</v>
      </c>
      <c r="L57" s="39"/>
      <c r="M57" s="38" t="s">
        <v>51</v>
      </c>
      <c r="N57" s="38" t="s">
        <v>51</v>
      </c>
      <c r="O57" s="38" t="s">
        <v>51</v>
      </c>
      <c r="P57" s="38" t="s">
        <v>51</v>
      </c>
      <c r="R57" t="str">
        <f t="shared" si="0"/>
        <v xml:space="preserve"> </v>
      </c>
    </row>
    <row r="58" spans="1:18" ht="20.100000000000001" customHeight="1" x14ac:dyDescent="0.3">
      <c r="A58" s="38" t="s">
        <v>1391</v>
      </c>
      <c r="B58" s="38" t="s">
        <v>1392</v>
      </c>
      <c r="C58" s="38" t="s">
        <v>1393</v>
      </c>
      <c r="D58" s="39">
        <v>10</v>
      </c>
      <c r="E58" s="38" t="s">
        <v>51</v>
      </c>
      <c r="F58" s="38" t="s">
        <v>1394</v>
      </c>
      <c r="G58" s="38" t="s">
        <v>55</v>
      </c>
      <c r="H58" s="38" t="s">
        <v>56</v>
      </c>
      <c r="I58" s="38" t="s">
        <v>57</v>
      </c>
      <c r="J58" s="39">
        <v>4</v>
      </c>
      <c r="K58" s="89" t="s">
        <v>1356</v>
      </c>
      <c r="L58" s="39">
        <v>40</v>
      </c>
      <c r="M58" s="38" t="s">
        <v>51</v>
      </c>
      <c r="N58" s="38" t="s">
        <v>1381</v>
      </c>
      <c r="O58" s="38" t="s">
        <v>1382</v>
      </c>
      <c r="P58" s="38" t="s">
        <v>1335</v>
      </c>
      <c r="R58" t="str">
        <f t="shared" si="0"/>
        <v>450/75OV 저독성난연가교폴리올레핀절연전선(HFIX) 1.38㎜</v>
      </c>
    </row>
    <row r="59" spans="1:18" ht="20.100000000000001" customHeight="1" x14ac:dyDescent="0.3">
      <c r="A59" s="38" t="s">
        <v>51</v>
      </c>
      <c r="B59" s="38" t="s">
        <v>51</v>
      </c>
      <c r="C59" s="38" t="s">
        <v>51</v>
      </c>
      <c r="D59" s="39"/>
      <c r="E59" s="38" t="s">
        <v>51</v>
      </c>
      <c r="F59" s="38" t="s">
        <v>1395</v>
      </c>
      <c r="G59" s="38" t="s">
        <v>86</v>
      </c>
      <c r="H59" s="38" t="s">
        <v>87</v>
      </c>
      <c r="I59" s="38" t="s">
        <v>74</v>
      </c>
      <c r="J59" s="39">
        <v>1</v>
      </c>
      <c r="K59" s="89" t="s">
        <v>1356</v>
      </c>
      <c r="L59" s="39">
        <v>10</v>
      </c>
      <c r="M59" s="38" t="s">
        <v>51</v>
      </c>
      <c r="N59" s="38" t="s">
        <v>1381</v>
      </c>
      <c r="O59" s="38" t="s">
        <v>1382</v>
      </c>
      <c r="P59" s="38" t="s">
        <v>1335</v>
      </c>
      <c r="R59" t="str">
        <f t="shared" si="0"/>
        <v>1종금속제가요전선관 16 mm 비방수</v>
      </c>
    </row>
    <row r="60" spans="1:18" ht="20.100000000000001" customHeight="1" x14ac:dyDescent="0.3">
      <c r="A60" s="38" t="s">
        <v>51</v>
      </c>
      <c r="B60" s="38" t="s">
        <v>51</v>
      </c>
      <c r="C60" s="38" t="s">
        <v>51</v>
      </c>
      <c r="D60" s="39"/>
      <c r="E60" s="38" t="s">
        <v>51</v>
      </c>
      <c r="F60" s="38" t="s">
        <v>51</v>
      </c>
      <c r="G60" s="38" t="s">
        <v>51</v>
      </c>
      <c r="H60" s="38" t="s">
        <v>51</v>
      </c>
      <c r="I60" s="38" t="s">
        <v>51</v>
      </c>
      <c r="J60" s="39"/>
      <c r="K60" s="89" t="s">
        <v>51</v>
      </c>
      <c r="L60" s="39"/>
      <c r="M60" s="38" t="s">
        <v>51</v>
      </c>
      <c r="N60" s="38" t="s">
        <v>51</v>
      </c>
      <c r="O60" s="38" t="s">
        <v>51</v>
      </c>
      <c r="P60" s="38" t="s">
        <v>51</v>
      </c>
      <c r="R60" t="str">
        <f t="shared" si="0"/>
        <v xml:space="preserve"> </v>
      </c>
    </row>
    <row r="61" spans="1:18" ht="20.100000000000001" customHeight="1" x14ac:dyDescent="0.3">
      <c r="A61" s="38" t="s">
        <v>51</v>
      </c>
      <c r="B61" s="38" t="s">
        <v>51</v>
      </c>
      <c r="C61" s="38" t="s">
        <v>51</v>
      </c>
      <c r="D61" s="39"/>
      <c r="E61" s="38" t="s">
        <v>51</v>
      </c>
      <c r="F61" s="38" t="s">
        <v>51</v>
      </c>
      <c r="G61" s="38" t="s">
        <v>51</v>
      </c>
      <c r="H61" s="38" t="s">
        <v>51</v>
      </c>
      <c r="I61" s="38" t="s">
        <v>51</v>
      </c>
      <c r="J61" s="39"/>
      <c r="K61" s="89" t="s">
        <v>51</v>
      </c>
      <c r="L61" s="39"/>
      <c r="M61" s="38" t="s">
        <v>51</v>
      </c>
      <c r="N61" s="38" t="s">
        <v>51</v>
      </c>
      <c r="O61" s="38" t="s">
        <v>51</v>
      </c>
      <c r="P61" s="38" t="s">
        <v>51</v>
      </c>
      <c r="R61" t="str">
        <f t="shared" si="0"/>
        <v xml:space="preserve"> </v>
      </c>
    </row>
    <row r="62" spans="1:18" ht="20.100000000000001" customHeight="1" x14ac:dyDescent="0.3">
      <c r="A62" s="38" t="s">
        <v>1396</v>
      </c>
      <c r="B62" s="38" t="s">
        <v>51</v>
      </c>
      <c r="C62" s="38" t="s">
        <v>51</v>
      </c>
      <c r="D62" s="39"/>
      <c r="E62" s="38" t="s">
        <v>51</v>
      </c>
      <c r="F62" s="38" t="s">
        <v>51</v>
      </c>
      <c r="G62" s="38" t="s">
        <v>51</v>
      </c>
      <c r="H62" s="38" t="s">
        <v>51</v>
      </c>
      <c r="I62" s="38" t="s">
        <v>51</v>
      </c>
      <c r="J62" s="39"/>
      <c r="K62" s="89" t="s">
        <v>51</v>
      </c>
      <c r="L62" s="39"/>
      <c r="M62" s="38" t="s">
        <v>51</v>
      </c>
      <c r="N62" s="38" t="s">
        <v>51</v>
      </c>
      <c r="O62" s="38" t="s">
        <v>51</v>
      </c>
      <c r="P62" s="38" t="s">
        <v>51</v>
      </c>
      <c r="R62" t="str">
        <f t="shared" si="0"/>
        <v xml:space="preserve"> </v>
      </c>
    </row>
    <row r="63" spans="1:18" ht="20.100000000000001" customHeight="1" x14ac:dyDescent="0.3">
      <c r="A63" s="38" t="s">
        <v>51</v>
      </c>
      <c r="B63" s="38" t="s">
        <v>51</v>
      </c>
      <c r="C63" s="38" t="s">
        <v>51</v>
      </c>
      <c r="D63" s="39"/>
      <c r="E63" s="38" t="s">
        <v>51</v>
      </c>
      <c r="F63" s="38" t="s">
        <v>51</v>
      </c>
      <c r="G63" s="38" t="s">
        <v>51</v>
      </c>
      <c r="H63" s="38" t="s">
        <v>51</v>
      </c>
      <c r="I63" s="38" t="s">
        <v>51</v>
      </c>
      <c r="J63" s="39"/>
      <c r="K63" s="89" t="s">
        <v>51</v>
      </c>
      <c r="L63" s="39"/>
      <c r="M63" s="38" t="s">
        <v>51</v>
      </c>
      <c r="N63" s="38" t="s">
        <v>51</v>
      </c>
      <c r="O63" s="38" t="s">
        <v>51</v>
      </c>
      <c r="P63" s="38" t="s">
        <v>51</v>
      </c>
      <c r="R63" t="str">
        <f t="shared" si="0"/>
        <v xml:space="preserve"> </v>
      </c>
    </row>
    <row r="64" spans="1:18" ht="20.100000000000001" customHeight="1" x14ac:dyDescent="0.3">
      <c r="A64" s="38" t="s">
        <v>1397</v>
      </c>
      <c r="B64" s="38" t="s">
        <v>1380</v>
      </c>
      <c r="C64" s="38" t="s">
        <v>1398</v>
      </c>
      <c r="D64" s="39">
        <v>3</v>
      </c>
      <c r="E64" s="38" t="s">
        <v>51</v>
      </c>
      <c r="F64" s="38" t="s">
        <v>1331</v>
      </c>
      <c r="G64" s="38" t="s">
        <v>55</v>
      </c>
      <c r="H64" s="38" t="s">
        <v>63</v>
      </c>
      <c r="I64" s="38" t="s">
        <v>57</v>
      </c>
      <c r="J64" s="39">
        <v>2</v>
      </c>
      <c r="K64" s="89" t="s">
        <v>1399</v>
      </c>
      <c r="L64" s="39">
        <v>6</v>
      </c>
      <c r="M64" s="38" t="s">
        <v>51</v>
      </c>
      <c r="N64" s="38" t="s">
        <v>1381</v>
      </c>
      <c r="O64" s="38" t="s">
        <v>1382</v>
      </c>
      <c r="P64" s="38" t="s">
        <v>1335</v>
      </c>
      <c r="R64" t="str">
        <f t="shared" si="0"/>
        <v>450/75OV 저독성난연가교폴리올레핀절연전선(HFIX) 1.78㎜</v>
      </c>
    </row>
    <row r="65" spans="1:18" ht="20.100000000000001" customHeight="1" x14ac:dyDescent="0.3">
      <c r="A65" s="38" t="s">
        <v>51</v>
      </c>
      <c r="B65" s="38" t="s">
        <v>51</v>
      </c>
      <c r="C65" s="38" t="s">
        <v>51</v>
      </c>
      <c r="D65" s="39"/>
      <c r="E65" s="38" t="s">
        <v>51</v>
      </c>
      <c r="F65" s="38" t="s">
        <v>1383</v>
      </c>
      <c r="G65" s="38" t="s">
        <v>1863</v>
      </c>
      <c r="H65" s="38" t="s">
        <v>1864</v>
      </c>
      <c r="I65" s="38" t="s">
        <v>93</v>
      </c>
      <c r="J65" s="39">
        <v>1</v>
      </c>
      <c r="K65" s="89" t="s">
        <v>1400</v>
      </c>
      <c r="L65" s="39">
        <v>2</v>
      </c>
      <c r="M65" s="38" t="s">
        <v>51</v>
      </c>
      <c r="N65" s="38" t="s">
        <v>1381</v>
      </c>
      <c r="O65" s="38" t="s">
        <v>1382</v>
      </c>
      <c r="P65" s="38" t="s">
        <v>1335</v>
      </c>
      <c r="R65" t="str">
        <f t="shared" si="0"/>
        <v>케이블클램프 케이블클램프, 접지크램프, 16C</v>
      </c>
    </row>
    <row r="66" spans="1:18" ht="20.100000000000001" customHeight="1" x14ac:dyDescent="0.3">
      <c r="A66" s="38" t="s">
        <v>51</v>
      </c>
      <c r="B66" s="38" t="s">
        <v>51</v>
      </c>
      <c r="C66" s="38" t="s">
        <v>51</v>
      </c>
      <c r="D66" s="39"/>
      <c r="E66" s="38" t="s">
        <v>51</v>
      </c>
      <c r="F66" s="38" t="s">
        <v>1385</v>
      </c>
      <c r="G66" s="38" t="s">
        <v>72</v>
      </c>
      <c r="H66" s="38" t="s">
        <v>73</v>
      </c>
      <c r="I66" s="38" t="s">
        <v>74</v>
      </c>
      <c r="J66" s="39">
        <v>1</v>
      </c>
      <c r="K66" s="89" t="s">
        <v>1399</v>
      </c>
      <c r="L66" s="39">
        <v>3</v>
      </c>
      <c r="M66" s="38" t="s">
        <v>51</v>
      </c>
      <c r="N66" s="38" t="s">
        <v>1381</v>
      </c>
      <c r="O66" s="38" t="s">
        <v>1382</v>
      </c>
      <c r="P66" s="38" t="s">
        <v>1335</v>
      </c>
      <c r="R66" t="str">
        <f t="shared" si="0"/>
        <v>강제 전선관 아연도  16 mm</v>
      </c>
    </row>
    <row r="67" spans="1:18" ht="20.100000000000001" customHeight="1" x14ac:dyDescent="0.3">
      <c r="A67" s="38" t="s">
        <v>51</v>
      </c>
      <c r="B67" s="38" t="s">
        <v>51</v>
      </c>
      <c r="C67" s="38" t="s">
        <v>51</v>
      </c>
      <c r="D67" s="39"/>
      <c r="E67" s="38" t="s">
        <v>51</v>
      </c>
      <c r="F67" s="38" t="s">
        <v>1336</v>
      </c>
      <c r="G67" s="38" t="s">
        <v>1869</v>
      </c>
      <c r="H67" s="38" t="s">
        <v>1850</v>
      </c>
      <c r="I67" s="38" t="s">
        <v>1870</v>
      </c>
      <c r="J67" s="94">
        <v>1</v>
      </c>
      <c r="K67" s="95">
        <f>L66/1.5*0.2*2.6</f>
        <v>1.04</v>
      </c>
      <c r="L67" s="94">
        <f>K67</f>
        <v>1.04</v>
      </c>
      <c r="M67" s="38" t="s">
        <v>51</v>
      </c>
      <c r="N67" s="38" t="s">
        <v>1333</v>
      </c>
      <c r="O67" s="38" t="s">
        <v>1334</v>
      </c>
      <c r="P67" s="38" t="s">
        <v>1335</v>
      </c>
      <c r="R67" t="str">
        <f t="shared" si="0"/>
        <v>"U"-CHANNEL 41*41*t2.6mm</v>
      </c>
    </row>
    <row r="68" spans="1:18" ht="20.100000000000001" customHeight="1" x14ac:dyDescent="0.3">
      <c r="A68" s="38" t="s">
        <v>51</v>
      </c>
      <c r="B68" s="38" t="s">
        <v>51</v>
      </c>
      <c r="C68" s="38" t="s">
        <v>51</v>
      </c>
      <c r="D68" s="39"/>
      <c r="E68" s="38" t="s">
        <v>51</v>
      </c>
      <c r="F68" s="38" t="s">
        <v>51</v>
      </c>
      <c r="G68" s="38" t="s">
        <v>51</v>
      </c>
      <c r="H68" s="38" t="s">
        <v>51</v>
      </c>
      <c r="I68" s="38" t="s">
        <v>51</v>
      </c>
      <c r="J68" s="39"/>
      <c r="K68" s="89" t="s">
        <v>51</v>
      </c>
      <c r="L68" s="39"/>
      <c r="M68" s="38" t="s">
        <v>51</v>
      </c>
      <c r="N68" s="38" t="s">
        <v>51</v>
      </c>
      <c r="O68" s="38" t="s">
        <v>51</v>
      </c>
      <c r="P68" s="38" t="s">
        <v>51</v>
      </c>
      <c r="R68" t="str">
        <f t="shared" si="0"/>
        <v xml:space="preserve"> </v>
      </c>
    </row>
    <row r="69" spans="1:18" ht="20.100000000000001" customHeight="1" x14ac:dyDescent="0.3">
      <c r="A69" s="38" t="s">
        <v>51</v>
      </c>
      <c r="B69" s="38" t="s">
        <v>51</v>
      </c>
      <c r="C69" s="38" t="s">
        <v>51</v>
      </c>
      <c r="D69" s="39"/>
      <c r="E69" s="38" t="s">
        <v>51</v>
      </c>
      <c r="F69" s="38" t="s">
        <v>51</v>
      </c>
      <c r="G69" s="38" t="s">
        <v>51</v>
      </c>
      <c r="H69" s="38" t="s">
        <v>51</v>
      </c>
      <c r="I69" s="38" t="s">
        <v>51</v>
      </c>
      <c r="J69" s="39"/>
      <c r="K69" s="89" t="s">
        <v>51</v>
      </c>
      <c r="L69" s="39"/>
      <c r="M69" s="38" t="s">
        <v>51</v>
      </c>
      <c r="N69" s="38" t="s">
        <v>51</v>
      </c>
      <c r="O69" s="38" t="s">
        <v>51</v>
      </c>
      <c r="P69" s="38" t="s">
        <v>51</v>
      </c>
      <c r="R69" t="str">
        <f t="shared" si="0"/>
        <v xml:space="preserve"> </v>
      </c>
    </row>
    <row r="70" spans="1:18" ht="20.100000000000001" customHeight="1" x14ac:dyDescent="0.3">
      <c r="A70" s="38" t="s">
        <v>1401</v>
      </c>
      <c r="B70" s="38" t="s">
        <v>51</v>
      </c>
      <c r="C70" s="38" t="s">
        <v>51</v>
      </c>
      <c r="D70" s="39"/>
      <c r="E70" s="38" t="s">
        <v>51</v>
      </c>
      <c r="F70" s="38" t="s">
        <v>51</v>
      </c>
      <c r="G70" s="38" t="s">
        <v>51</v>
      </c>
      <c r="H70" s="38" t="s">
        <v>51</v>
      </c>
      <c r="I70" s="38" t="s">
        <v>51</v>
      </c>
      <c r="J70" s="39"/>
      <c r="K70" s="89" t="s">
        <v>51</v>
      </c>
      <c r="L70" s="39"/>
      <c r="M70" s="38" t="s">
        <v>51</v>
      </c>
      <c r="N70" s="38" t="s">
        <v>51</v>
      </c>
      <c r="O70" s="38" t="s">
        <v>51</v>
      </c>
      <c r="P70" s="38" t="s">
        <v>51</v>
      </c>
      <c r="R70" t="str">
        <f t="shared" si="0"/>
        <v xml:space="preserve"> </v>
      </c>
    </row>
    <row r="71" spans="1:18" ht="20.100000000000001" customHeight="1" x14ac:dyDescent="0.3">
      <c r="A71" s="38" t="s">
        <v>51</v>
      </c>
      <c r="B71" s="38" t="s">
        <v>51</v>
      </c>
      <c r="C71" s="38" t="s">
        <v>51</v>
      </c>
      <c r="D71" s="39"/>
      <c r="E71" s="38" t="s">
        <v>51</v>
      </c>
      <c r="F71" s="38" t="s">
        <v>51</v>
      </c>
      <c r="G71" s="38" t="s">
        <v>51</v>
      </c>
      <c r="H71" s="38" t="s">
        <v>51</v>
      </c>
      <c r="I71" s="38" t="s">
        <v>51</v>
      </c>
      <c r="J71" s="39"/>
      <c r="K71" s="89" t="s">
        <v>51</v>
      </c>
      <c r="L71" s="39"/>
      <c r="M71" s="38" t="s">
        <v>51</v>
      </c>
      <c r="N71" s="38" t="s">
        <v>51</v>
      </c>
      <c r="O71" s="38" t="s">
        <v>51</v>
      </c>
      <c r="P71" s="38" t="s">
        <v>51</v>
      </c>
      <c r="R71" t="str">
        <f t="shared" si="0"/>
        <v xml:space="preserve"> </v>
      </c>
    </row>
    <row r="72" spans="1:18" ht="20.100000000000001" customHeight="1" x14ac:dyDescent="0.3">
      <c r="A72" s="38" t="s">
        <v>1402</v>
      </c>
      <c r="B72" s="38" t="s">
        <v>1403</v>
      </c>
      <c r="C72" s="38" t="s">
        <v>1404</v>
      </c>
      <c r="D72" s="39">
        <v>13</v>
      </c>
      <c r="E72" s="38" t="s">
        <v>51</v>
      </c>
      <c r="F72" s="38" t="s">
        <v>1331</v>
      </c>
      <c r="G72" s="38" t="s">
        <v>55</v>
      </c>
      <c r="H72" s="38" t="s">
        <v>63</v>
      </c>
      <c r="I72" s="38" t="s">
        <v>57</v>
      </c>
      <c r="J72" s="39">
        <v>8</v>
      </c>
      <c r="K72" s="89" t="s">
        <v>1405</v>
      </c>
      <c r="L72" s="39">
        <v>104</v>
      </c>
      <c r="M72" s="38" t="s">
        <v>51</v>
      </c>
      <c r="N72" s="38" t="s">
        <v>1381</v>
      </c>
      <c r="O72" s="38" t="s">
        <v>1382</v>
      </c>
      <c r="P72" s="38" t="s">
        <v>1335</v>
      </c>
      <c r="R72" t="str">
        <f t="shared" si="0"/>
        <v>450/75OV 저독성난연가교폴리올레핀절연전선(HFIX) 1.78㎜</v>
      </c>
    </row>
    <row r="73" spans="1:18" ht="20.100000000000001" customHeight="1" x14ac:dyDescent="0.3">
      <c r="A73" s="38" t="s">
        <v>51</v>
      </c>
      <c r="B73" s="38" t="s">
        <v>51</v>
      </c>
      <c r="C73" s="38" t="s">
        <v>51</v>
      </c>
      <c r="D73" s="39"/>
      <c r="E73" s="38" t="s">
        <v>51</v>
      </c>
      <c r="F73" s="38" t="s">
        <v>1406</v>
      </c>
      <c r="G73" s="38" t="s">
        <v>1863</v>
      </c>
      <c r="H73" s="38" t="s">
        <v>1865</v>
      </c>
      <c r="I73" s="38" t="s">
        <v>93</v>
      </c>
      <c r="J73" s="39">
        <v>1</v>
      </c>
      <c r="K73" s="89" t="s">
        <v>1407</v>
      </c>
      <c r="L73" s="39">
        <v>8.6660000000000004</v>
      </c>
      <c r="M73" s="38" t="s">
        <v>51</v>
      </c>
      <c r="N73" s="38" t="s">
        <v>1381</v>
      </c>
      <c r="O73" s="38" t="s">
        <v>1382</v>
      </c>
      <c r="P73" s="38" t="s">
        <v>1335</v>
      </c>
      <c r="R73" t="str">
        <f t="shared" si="0"/>
        <v>케이블클램프 케이블클램프, 접지크램프, 28C</v>
      </c>
    </row>
    <row r="74" spans="1:18" ht="20.100000000000001" customHeight="1" x14ac:dyDescent="0.3">
      <c r="A74" s="38" t="s">
        <v>51</v>
      </c>
      <c r="B74" s="38" t="s">
        <v>51</v>
      </c>
      <c r="C74" s="38" t="s">
        <v>51</v>
      </c>
      <c r="D74" s="39"/>
      <c r="E74" s="38" t="s">
        <v>51</v>
      </c>
      <c r="F74" s="38" t="s">
        <v>1408</v>
      </c>
      <c r="G74" s="38" t="s">
        <v>72</v>
      </c>
      <c r="H74" s="38" t="s">
        <v>82</v>
      </c>
      <c r="I74" s="38" t="s">
        <v>74</v>
      </c>
      <c r="J74" s="39">
        <v>1</v>
      </c>
      <c r="K74" s="89" t="s">
        <v>1405</v>
      </c>
      <c r="L74" s="39">
        <v>13</v>
      </c>
      <c r="M74" s="38" t="s">
        <v>51</v>
      </c>
      <c r="N74" s="38" t="s">
        <v>1381</v>
      </c>
      <c r="O74" s="38" t="s">
        <v>1382</v>
      </c>
      <c r="P74" s="38" t="s">
        <v>1335</v>
      </c>
      <c r="R74" t="str">
        <f t="shared" ref="R74:R139" si="2">CONCATENATE(G74," ",H74)</f>
        <v>강제 전선관 아연도  28 mm</v>
      </c>
    </row>
    <row r="75" spans="1:18" ht="20.100000000000001" customHeight="1" x14ac:dyDescent="0.3">
      <c r="A75" s="38" t="s">
        <v>1409</v>
      </c>
      <c r="B75" s="38" t="s">
        <v>1410</v>
      </c>
      <c r="C75" s="38" t="s">
        <v>1411</v>
      </c>
      <c r="D75" s="39">
        <v>12</v>
      </c>
      <c r="E75" s="38" t="s">
        <v>51</v>
      </c>
      <c r="F75" s="38" t="s">
        <v>1331</v>
      </c>
      <c r="G75" s="38" t="s">
        <v>55</v>
      </c>
      <c r="H75" s="38" t="s">
        <v>63</v>
      </c>
      <c r="I75" s="38" t="s">
        <v>57</v>
      </c>
      <c r="J75" s="39">
        <v>8</v>
      </c>
      <c r="K75" s="89" t="s">
        <v>1412</v>
      </c>
      <c r="L75" s="39">
        <v>96</v>
      </c>
      <c r="M75" s="38" t="s">
        <v>51</v>
      </c>
      <c r="N75" s="38" t="s">
        <v>1381</v>
      </c>
      <c r="O75" s="38" t="s">
        <v>1382</v>
      </c>
      <c r="P75" s="38" t="s">
        <v>1335</v>
      </c>
      <c r="R75" t="str">
        <f t="shared" si="2"/>
        <v>450/75OV 저독성난연가교폴리올레핀절연전선(HFIX) 1.78㎜</v>
      </c>
    </row>
    <row r="76" spans="1:18" ht="20.100000000000001" customHeight="1" x14ac:dyDescent="0.3">
      <c r="A76" s="38" t="s">
        <v>51</v>
      </c>
      <c r="B76" s="38" t="s">
        <v>51</v>
      </c>
      <c r="C76" s="38" t="s">
        <v>51</v>
      </c>
      <c r="D76" s="39"/>
      <c r="E76" s="38" t="s">
        <v>51</v>
      </c>
      <c r="F76" s="38" t="s">
        <v>1331</v>
      </c>
      <c r="G76" s="38" t="s">
        <v>55</v>
      </c>
      <c r="H76" s="38" t="s">
        <v>63</v>
      </c>
      <c r="I76" s="38" t="s">
        <v>57</v>
      </c>
      <c r="J76" s="39">
        <v>5</v>
      </c>
      <c r="K76" s="89" t="s">
        <v>1412</v>
      </c>
      <c r="L76" s="39">
        <v>60</v>
      </c>
      <c r="M76" s="38" t="s">
        <v>51</v>
      </c>
      <c r="N76" s="38" t="s">
        <v>1381</v>
      </c>
      <c r="O76" s="38" t="s">
        <v>1382</v>
      </c>
      <c r="P76" s="38" t="s">
        <v>1335</v>
      </c>
      <c r="R76" t="str">
        <f t="shared" si="2"/>
        <v>450/75OV 저독성난연가교폴리올레핀절연전선(HFIX) 1.78㎜</v>
      </c>
    </row>
    <row r="77" spans="1:18" ht="20.100000000000001" customHeight="1" x14ac:dyDescent="0.3">
      <c r="A77" s="38" t="s">
        <v>51</v>
      </c>
      <c r="B77" s="38" t="s">
        <v>51</v>
      </c>
      <c r="C77" s="38" t="s">
        <v>51</v>
      </c>
      <c r="D77" s="39"/>
      <c r="E77" s="38" t="s">
        <v>51</v>
      </c>
      <c r="F77" s="38" t="s">
        <v>1406</v>
      </c>
      <c r="G77" s="38" t="s">
        <v>1863</v>
      </c>
      <c r="H77" s="38" t="s">
        <v>1865</v>
      </c>
      <c r="I77" s="38" t="s">
        <v>93</v>
      </c>
      <c r="J77" s="39">
        <v>1</v>
      </c>
      <c r="K77" s="89" t="s">
        <v>1413</v>
      </c>
      <c r="L77" s="39">
        <v>8</v>
      </c>
      <c r="M77" s="38" t="s">
        <v>51</v>
      </c>
      <c r="N77" s="38" t="s">
        <v>1381</v>
      </c>
      <c r="O77" s="38" t="s">
        <v>1382</v>
      </c>
      <c r="P77" s="38" t="s">
        <v>1335</v>
      </c>
      <c r="R77" t="str">
        <f t="shared" si="2"/>
        <v>케이블클램프 케이블클램프, 접지크램프, 28C</v>
      </c>
    </row>
    <row r="78" spans="1:18" ht="20.100000000000001" customHeight="1" x14ac:dyDescent="0.3">
      <c r="A78" s="38" t="s">
        <v>51</v>
      </c>
      <c r="B78" s="38" t="s">
        <v>51</v>
      </c>
      <c r="C78" s="38" t="s">
        <v>51</v>
      </c>
      <c r="D78" s="39"/>
      <c r="E78" s="38" t="s">
        <v>51</v>
      </c>
      <c r="F78" s="38" t="s">
        <v>1336</v>
      </c>
      <c r="G78" s="38" t="s">
        <v>1863</v>
      </c>
      <c r="H78" s="38" t="s">
        <v>1860</v>
      </c>
      <c r="I78" s="38" t="s">
        <v>93</v>
      </c>
      <c r="J78" s="39">
        <v>1</v>
      </c>
      <c r="K78" s="89" t="s">
        <v>1413</v>
      </c>
      <c r="L78" s="39">
        <v>8</v>
      </c>
      <c r="M78" s="38" t="s">
        <v>51</v>
      </c>
      <c r="N78" s="38" t="s">
        <v>1381</v>
      </c>
      <c r="O78" s="38" t="s">
        <v>1382</v>
      </c>
      <c r="P78" s="38" t="s">
        <v>1335</v>
      </c>
      <c r="R78" t="str">
        <f t="shared" si="2"/>
        <v>케이블클램프 케이블클램프, 접지크램프, 22C</v>
      </c>
    </row>
    <row r="79" spans="1:18" ht="20.100000000000001" customHeight="1" x14ac:dyDescent="0.3">
      <c r="A79" s="38" t="s">
        <v>51</v>
      </c>
      <c r="B79" s="38" t="s">
        <v>51</v>
      </c>
      <c r="C79" s="38" t="s">
        <v>51</v>
      </c>
      <c r="D79" s="39"/>
      <c r="E79" s="38" t="s">
        <v>51</v>
      </c>
      <c r="F79" s="38" t="s">
        <v>1408</v>
      </c>
      <c r="G79" s="38" t="s">
        <v>72</v>
      </c>
      <c r="H79" s="38" t="s">
        <v>82</v>
      </c>
      <c r="I79" s="38" t="s">
        <v>74</v>
      </c>
      <c r="J79" s="39">
        <v>1</v>
      </c>
      <c r="K79" s="89" t="s">
        <v>1412</v>
      </c>
      <c r="L79" s="39">
        <v>12</v>
      </c>
      <c r="M79" s="38" t="s">
        <v>51</v>
      </c>
      <c r="N79" s="38" t="s">
        <v>1381</v>
      </c>
      <c r="O79" s="38" t="s">
        <v>1382</v>
      </c>
      <c r="P79" s="38" t="s">
        <v>1335</v>
      </c>
      <c r="R79" t="str">
        <f t="shared" si="2"/>
        <v>강제 전선관 아연도  28 mm</v>
      </c>
    </row>
    <row r="80" spans="1:18" ht="20.100000000000001" customHeight="1" x14ac:dyDescent="0.3">
      <c r="A80" s="38" t="s">
        <v>51</v>
      </c>
      <c r="B80" s="38" t="s">
        <v>51</v>
      </c>
      <c r="C80" s="38" t="s">
        <v>51</v>
      </c>
      <c r="D80" s="39"/>
      <c r="E80" s="38" t="s">
        <v>51</v>
      </c>
      <c r="F80" s="38" t="s">
        <v>1338</v>
      </c>
      <c r="G80" s="38" t="s">
        <v>72</v>
      </c>
      <c r="H80" s="38" t="s">
        <v>78</v>
      </c>
      <c r="I80" s="38" t="s">
        <v>74</v>
      </c>
      <c r="J80" s="39">
        <v>1</v>
      </c>
      <c r="K80" s="89" t="s">
        <v>1412</v>
      </c>
      <c r="L80" s="39">
        <v>12</v>
      </c>
      <c r="M80" s="38" t="s">
        <v>51</v>
      </c>
      <c r="N80" s="38" t="s">
        <v>1381</v>
      </c>
      <c r="O80" s="38" t="s">
        <v>1382</v>
      </c>
      <c r="P80" s="38" t="s">
        <v>1335</v>
      </c>
      <c r="R80" t="str">
        <f t="shared" si="2"/>
        <v>강제 전선관 아연도  22 mm</v>
      </c>
    </row>
    <row r="81" spans="1:18" ht="20.100000000000001" customHeight="1" x14ac:dyDescent="0.3">
      <c r="A81" s="38" t="s">
        <v>1414</v>
      </c>
      <c r="B81" s="38" t="s">
        <v>1415</v>
      </c>
      <c r="C81" s="38" t="s">
        <v>1416</v>
      </c>
      <c r="D81" s="39">
        <v>11</v>
      </c>
      <c r="E81" s="38" t="s">
        <v>51</v>
      </c>
      <c r="F81" s="38" t="s">
        <v>1331</v>
      </c>
      <c r="G81" s="38" t="s">
        <v>55</v>
      </c>
      <c r="H81" s="38" t="s">
        <v>63</v>
      </c>
      <c r="I81" s="38" t="s">
        <v>57</v>
      </c>
      <c r="J81" s="39">
        <v>8</v>
      </c>
      <c r="K81" s="89" t="s">
        <v>1417</v>
      </c>
      <c r="L81" s="39">
        <v>88</v>
      </c>
      <c r="M81" s="38" t="s">
        <v>51</v>
      </c>
      <c r="N81" s="38" t="s">
        <v>1381</v>
      </c>
      <c r="O81" s="38" t="s">
        <v>1382</v>
      </c>
      <c r="P81" s="38" t="s">
        <v>1335</v>
      </c>
      <c r="R81" t="str">
        <f t="shared" si="2"/>
        <v>450/75OV 저독성난연가교폴리올레핀절연전선(HFIX) 1.78㎜</v>
      </c>
    </row>
    <row r="82" spans="1:18" ht="20.100000000000001" customHeight="1" x14ac:dyDescent="0.3">
      <c r="A82" s="38" t="s">
        <v>51</v>
      </c>
      <c r="B82" s="38" t="s">
        <v>51</v>
      </c>
      <c r="C82" s="38" t="s">
        <v>51</v>
      </c>
      <c r="D82" s="39"/>
      <c r="E82" s="38" t="s">
        <v>51</v>
      </c>
      <c r="F82" s="38" t="s">
        <v>1331</v>
      </c>
      <c r="G82" s="38" t="s">
        <v>55</v>
      </c>
      <c r="H82" s="38" t="s">
        <v>63</v>
      </c>
      <c r="I82" s="38" t="s">
        <v>57</v>
      </c>
      <c r="J82" s="39">
        <v>10</v>
      </c>
      <c r="K82" s="89" t="s">
        <v>1417</v>
      </c>
      <c r="L82" s="39">
        <v>110</v>
      </c>
      <c r="M82" s="38" t="s">
        <v>51</v>
      </c>
      <c r="N82" s="38" t="s">
        <v>1381</v>
      </c>
      <c r="O82" s="38" t="s">
        <v>1382</v>
      </c>
      <c r="P82" s="38" t="s">
        <v>1335</v>
      </c>
      <c r="R82" t="str">
        <f t="shared" si="2"/>
        <v>450/75OV 저독성난연가교폴리올레핀절연전선(HFIX) 1.78㎜</v>
      </c>
    </row>
    <row r="83" spans="1:18" ht="20.100000000000001" customHeight="1" x14ac:dyDescent="0.3">
      <c r="A83" s="38" t="s">
        <v>51</v>
      </c>
      <c r="B83" s="38" t="s">
        <v>51</v>
      </c>
      <c r="C83" s="38" t="s">
        <v>51</v>
      </c>
      <c r="D83" s="39"/>
      <c r="E83" s="38" t="s">
        <v>51</v>
      </c>
      <c r="F83" s="38" t="s">
        <v>1406</v>
      </c>
      <c r="G83" s="38" t="s">
        <v>1863</v>
      </c>
      <c r="H83" s="38" t="s">
        <v>1865</v>
      </c>
      <c r="I83" s="38" t="s">
        <v>93</v>
      </c>
      <c r="J83" s="39">
        <v>1</v>
      </c>
      <c r="K83" s="89" t="s">
        <v>1418</v>
      </c>
      <c r="L83" s="39">
        <v>7.3330000000000002</v>
      </c>
      <c r="M83" s="38" t="s">
        <v>51</v>
      </c>
      <c r="N83" s="38" t="s">
        <v>1381</v>
      </c>
      <c r="O83" s="38" t="s">
        <v>1382</v>
      </c>
      <c r="P83" s="38" t="s">
        <v>1335</v>
      </c>
      <c r="R83" t="str">
        <f t="shared" si="2"/>
        <v>케이블클램프 케이블클램프, 접지크램프, 28C</v>
      </c>
    </row>
    <row r="84" spans="1:18" ht="20.100000000000001" customHeight="1" x14ac:dyDescent="0.3">
      <c r="A84" s="38" t="s">
        <v>51</v>
      </c>
      <c r="B84" s="38" t="s">
        <v>51</v>
      </c>
      <c r="C84" s="38" t="s">
        <v>51</v>
      </c>
      <c r="D84" s="39"/>
      <c r="E84" s="38" t="s">
        <v>51</v>
      </c>
      <c r="F84" s="38" t="s">
        <v>1406</v>
      </c>
      <c r="G84" s="38" t="s">
        <v>1863</v>
      </c>
      <c r="H84" s="38" t="s">
        <v>1865</v>
      </c>
      <c r="I84" s="38" t="s">
        <v>93</v>
      </c>
      <c r="J84" s="39">
        <v>1</v>
      </c>
      <c r="K84" s="89" t="s">
        <v>1418</v>
      </c>
      <c r="L84" s="39">
        <v>7.3330000000000002</v>
      </c>
      <c r="M84" s="38" t="s">
        <v>51</v>
      </c>
      <c r="N84" s="38" t="s">
        <v>1381</v>
      </c>
      <c r="O84" s="38" t="s">
        <v>1382</v>
      </c>
      <c r="P84" s="38" t="s">
        <v>1335</v>
      </c>
      <c r="R84" t="str">
        <f t="shared" si="2"/>
        <v>케이블클램프 케이블클램프, 접지크램프, 28C</v>
      </c>
    </row>
    <row r="85" spans="1:18" ht="20.100000000000001" customHeight="1" x14ac:dyDescent="0.3">
      <c r="A85" s="38" t="s">
        <v>51</v>
      </c>
      <c r="B85" s="38" t="s">
        <v>51</v>
      </c>
      <c r="C85" s="38" t="s">
        <v>51</v>
      </c>
      <c r="D85" s="39"/>
      <c r="E85" s="38" t="s">
        <v>51</v>
      </c>
      <c r="F85" s="38" t="s">
        <v>1408</v>
      </c>
      <c r="G85" s="38" t="s">
        <v>72</v>
      </c>
      <c r="H85" s="38" t="s">
        <v>82</v>
      </c>
      <c r="I85" s="38" t="s">
        <v>74</v>
      </c>
      <c r="J85" s="39">
        <v>1</v>
      </c>
      <c r="K85" s="89" t="s">
        <v>1417</v>
      </c>
      <c r="L85" s="39">
        <v>11</v>
      </c>
      <c r="M85" s="38" t="s">
        <v>51</v>
      </c>
      <c r="N85" s="38" t="s">
        <v>1381</v>
      </c>
      <c r="O85" s="38" t="s">
        <v>1382</v>
      </c>
      <c r="P85" s="38" t="s">
        <v>1335</v>
      </c>
      <c r="R85" t="str">
        <f t="shared" si="2"/>
        <v>강제 전선관 아연도  28 mm</v>
      </c>
    </row>
    <row r="86" spans="1:18" ht="20.100000000000001" customHeight="1" x14ac:dyDescent="0.3">
      <c r="A86" s="38" t="s">
        <v>51</v>
      </c>
      <c r="B86" s="38" t="s">
        <v>51</v>
      </c>
      <c r="C86" s="38" t="s">
        <v>51</v>
      </c>
      <c r="D86" s="39"/>
      <c r="E86" s="38" t="s">
        <v>51</v>
      </c>
      <c r="F86" s="38" t="s">
        <v>1408</v>
      </c>
      <c r="G86" s="38" t="s">
        <v>72</v>
      </c>
      <c r="H86" s="38" t="s">
        <v>82</v>
      </c>
      <c r="I86" s="38" t="s">
        <v>74</v>
      </c>
      <c r="J86" s="39">
        <v>1</v>
      </c>
      <c r="K86" s="89" t="s">
        <v>1417</v>
      </c>
      <c r="L86" s="39">
        <v>11</v>
      </c>
      <c r="M86" s="38" t="s">
        <v>51</v>
      </c>
      <c r="N86" s="38" t="s">
        <v>1381</v>
      </c>
      <c r="O86" s="38" t="s">
        <v>1382</v>
      </c>
      <c r="P86" s="38" t="s">
        <v>1335</v>
      </c>
      <c r="R86" t="str">
        <f t="shared" si="2"/>
        <v>강제 전선관 아연도  28 mm</v>
      </c>
    </row>
    <row r="87" spans="1:18" ht="20.100000000000001" customHeight="1" x14ac:dyDescent="0.3">
      <c r="A87" s="38" t="s">
        <v>1419</v>
      </c>
      <c r="B87" s="38" t="s">
        <v>1420</v>
      </c>
      <c r="C87" s="38" t="s">
        <v>1404</v>
      </c>
      <c r="D87" s="39">
        <v>13</v>
      </c>
      <c r="E87" s="38" t="s">
        <v>51</v>
      </c>
      <c r="F87" s="38" t="s">
        <v>1331</v>
      </c>
      <c r="G87" s="38" t="s">
        <v>55</v>
      </c>
      <c r="H87" s="38" t="s">
        <v>63</v>
      </c>
      <c r="I87" s="38" t="s">
        <v>57</v>
      </c>
      <c r="J87" s="39">
        <v>5</v>
      </c>
      <c r="K87" s="89" t="s">
        <v>1405</v>
      </c>
      <c r="L87" s="39">
        <v>65</v>
      </c>
      <c r="M87" s="38" t="s">
        <v>51</v>
      </c>
      <c r="N87" s="38" t="s">
        <v>1381</v>
      </c>
      <c r="O87" s="38" t="s">
        <v>1382</v>
      </c>
      <c r="P87" s="38" t="s">
        <v>1335</v>
      </c>
      <c r="R87" t="str">
        <f t="shared" si="2"/>
        <v>450/75OV 저독성난연가교폴리올레핀절연전선(HFIX) 1.78㎜</v>
      </c>
    </row>
    <row r="88" spans="1:18" ht="20.100000000000001" customHeight="1" x14ac:dyDescent="0.3">
      <c r="A88" s="38" t="s">
        <v>51</v>
      </c>
      <c r="B88" s="38" t="s">
        <v>51</v>
      </c>
      <c r="C88" s="38" t="s">
        <v>51</v>
      </c>
      <c r="D88" s="39"/>
      <c r="E88" s="38" t="s">
        <v>51</v>
      </c>
      <c r="F88" s="38" t="s">
        <v>1331</v>
      </c>
      <c r="G88" s="38" t="s">
        <v>55</v>
      </c>
      <c r="H88" s="38" t="s">
        <v>63</v>
      </c>
      <c r="I88" s="38" t="s">
        <v>57</v>
      </c>
      <c r="J88" s="39">
        <v>8</v>
      </c>
      <c r="K88" s="89" t="s">
        <v>1405</v>
      </c>
      <c r="L88" s="39">
        <v>104</v>
      </c>
      <c r="M88" s="38" t="s">
        <v>51</v>
      </c>
      <c r="N88" s="38" t="s">
        <v>1381</v>
      </c>
      <c r="O88" s="38" t="s">
        <v>1382</v>
      </c>
      <c r="P88" s="38" t="s">
        <v>1335</v>
      </c>
      <c r="R88" t="str">
        <f t="shared" si="2"/>
        <v>450/75OV 저독성난연가교폴리올레핀절연전선(HFIX) 1.78㎜</v>
      </c>
    </row>
    <row r="89" spans="1:18" ht="20.100000000000001" customHeight="1" x14ac:dyDescent="0.3">
      <c r="A89" s="38" t="s">
        <v>51</v>
      </c>
      <c r="B89" s="38" t="s">
        <v>51</v>
      </c>
      <c r="C89" s="38" t="s">
        <v>51</v>
      </c>
      <c r="D89" s="39"/>
      <c r="E89" s="38" t="s">
        <v>51</v>
      </c>
      <c r="F89" s="38" t="s">
        <v>1331</v>
      </c>
      <c r="G89" s="38" t="s">
        <v>55</v>
      </c>
      <c r="H89" s="38" t="s">
        <v>63</v>
      </c>
      <c r="I89" s="38" t="s">
        <v>57</v>
      </c>
      <c r="J89" s="39">
        <v>10</v>
      </c>
      <c r="K89" s="89" t="s">
        <v>1405</v>
      </c>
      <c r="L89" s="39">
        <v>130</v>
      </c>
      <c r="M89" s="38" t="s">
        <v>51</v>
      </c>
      <c r="N89" s="38" t="s">
        <v>1381</v>
      </c>
      <c r="O89" s="38" t="s">
        <v>1382</v>
      </c>
      <c r="P89" s="38" t="s">
        <v>1335</v>
      </c>
      <c r="R89" t="str">
        <f t="shared" si="2"/>
        <v>450/75OV 저독성난연가교폴리올레핀절연전선(HFIX) 1.78㎜</v>
      </c>
    </row>
    <row r="90" spans="1:18" ht="20.100000000000001" customHeight="1" x14ac:dyDescent="0.3">
      <c r="A90" s="38" t="s">
        <v>51</v>
      </c>
      <c r="B90" s="38" t="s">
        <v>51</v>
      </c>
      <c r="C90" s="38" t="s">
        <v>51</v>
      </c>
      <c r="D90" s="39"/>
      <c r="E90" s="38" t="s">
        <v>51</v>
      </c>
      <c r="F90" s="38" t="s">
        <v>1336</v>
      </c>
      <c r="G90" s="38" t="s">
        <v>1863</v>
      </c>
      <c r="H90" s="38" t="s">
        <v>1860</v>
      </c>
      <c r="I90" s="38" t="s">
        <v>93</v>
      </c>
      <c r="J90" s="39">
        <v>1</v>
      </c>
      <c r="K90" s="89" t="s">
        <v>1407</v>
      </c>
      <c r="L90" s="39">
        <v>8.6660000000000004</v>
      </c>
      <c r="M90" s="38" t="s">
        <v>51</v>
      </c>
      <c r="N90" s="38" t="s">
        <v>1381</v>
      </c>
      <c r="O90" s="38" t="s">
        <v>1382</v>
      </c>
      <c r="P90" s="38" t="s">
        <v>1335</v>
      </c>
      <c r="R90" t="str">
        <f t="shared" si="2"/>
        <v>케이블클램프 케이블클램프, 접지크램프, 22C</v>
      </c>
    </row>
    <row r="91" spans="1:18" ht="20.100000000000001" customHeight="1" x14ac:dyDescent="0.3">
      <c r="A91" s="38" t="s">
        <v>51</v>
      </c>
      <c r="B91" s="38" t="s">
        <v>51</v>
      </c>
      <c r="C91" s="38" t="s">
        <v>51</v>
      </c>
      <c r="D91" s="39"/>
      <c r="E91" s="38" t="s">
        <v>51</v>
      </c>
      <c r="F91" s="38" t="s">
        <v>1406</v>
      </c>
      <c r="G91" s="38" t="s">
        <v>1863</v>
      </c>
      <c r="H91" s="38" t="s">
        <v>1865</v>
      </c>
      <c r="I91" s="38" t="s">
        <v>93</v>
      </c>
      <c r="J91" s="39">
        <v>1</v>
      </c>
      <c r="K91" s="89" t="s">
        <v>1407</v>
      </c>
      <c r="L91" s="39">
        <v>8.6660000000000004</v>
      </c>
      <c r="M91" s="38" t="s">
        <v>51</v>
      </c>
      <c r="N91" s="38" t="s">
        <v>1381</v>
      </c>
      <c r="O91" s="38" t="s">
        <v>1382</v>
      </c>
      <c r="P91" s="38" t="s">
        <v>1335</v>
      </c>
      <c r="R91" t="str">
        <f t="shared" si="2"/>
        <v>케이블클램프 케이블클램프, 접지크램프, 28C</v>
      </c>
    </row>
    <row r="92" spans="1:18" ht="20.100000000000001" customHeight="1" x14ac:dyDescent="0.3">
      <c r="A92" s="38" t="s">
        <v>51</v>
      </c>
      <c r="B92" s="38" t="s">
        <v>51</v>
      </c>
      <c r="C92" s="38" t="s">
        <v>51</v>
      </c>
      <c r="D92" s="39"/>
      <c r="E92" s="38" t="s">
        <v>51</v>
      </c>
      <c r="F92" s="38" t="s">
        <v>1406</v>
      </c>
      <c r="G92" s="38" t="s">
        <v>1863</v>
      </c>
      <c r="H92" s="38" t="s">
        <v>1865</v>
      </c>
      <c r="I92" s="38" t="s">
        <v>93</v>
      </c>
      <c r="J92" s="39">
        <v>1</v>
      </c>
      <c r="K92" s="89" t="s">
        <v>1407</v>
      </c>
      <c r="L92" s="39">
        <v>8.6660000000000004</v>
      </c>
      <c r="M92" s="38" t="s">
        <v>51</v>
      </c>
      <c r="N92" s="38" t="s">
        <v>1381</v>
      </c>
      <c r="O92" s="38" t="s">
        <v>1382</v>
      </c>
      <c r="P92" s="38" t="s">
        <v>1335</v>
      </c>
      <c r="R92" t="str">
        <f t="shared" si="2"/>
        <v>케이블클램프 케이블클램프, 접지크램프, 28C</v>
      </c>
    </row>
    <row r="93" spans="1:18" ht="20.100000000000001" customHeight="1" x14ac:dyDescent="0.3">
      <c r="A93" s="38" t="s">
        <v>51</v>
      </c>
      <c r="B93" s="38" t="s">
        <v>51</v>
      </c>
      <c r="C93" s="38" t="s">
        <v>51</v>
      </c>
      <c r="D93" s="39"/>
      <c r="E93" s="38" t="s">
        <v>51</v>
      </c>
      <c r="F93" s="38" t="s">
        <v>1338</v>
      </c>
      <c r="G93" s="38" t="s">
        <v>72</v>
      </c>
      <c r="H93" s="38" t="s">
        <v>78</v>
      </c>
      <c r="I93" s="38" t="s">
        <v>74</v>
      </c>
      <c r="J93" s="39">
        <v>1</v>
      </c>
      <c r="K93" s="89" t="s">
        <v>1405</v>
      </c>
      <c r="L93" s="39">
        <v>13</v>
      </c>
      <c r="M93" s="38" t="s">
        <v>51</v>
      </c>
      <c r="N93" s="38" t="s">
        <v>1381</v>
      </c>
      <c r="O93" s="38" t="s">
        <v>1382</v>
      </c>
      <c r="P93" s="38" t="s">
        <v>1335</v>
      </c>
      <c r="R93" t="str">
        <f t="shared" si="2"/>
        <v>강제 전선관 아연도  22 mm</v>
      </c>
    </row>
    <row r="94" spans="1:18" ht="20.100000000000001" customHeight="1" x14ac:dyDescent="0.3">
      <c r="A94" s="38" t="s">
        <v>51</v>
      </c>
      <c r="B94" s="38" t="s">
        <v>51</v>
      </c>
      <c r="C94" s="38" t="s">
        <v>51</v>
      </c>
      <c r="D94" s="39"/>
      <c r="E94" s="38" t="s">
        <v>51</v>
      </c>
      <c r="F94" s="38" t="s">
        <v>1408</v>
      </c>
      <c r="G94" s="38" t="s">
        <v>72</v>
      </c>
      <c r="H94" s="38" t="s">
        <v>82</v>
      </c>
      <c r="I94" s="38" t="s">
        <v>74</v>
      </c>
      <c r="J94" s="39">
        <v>1</v>
      </c>
      <c r="K94" s="89" t="s">
        <v>1405</v>
      </c>
      <c r="L94" s="39">
        <v>13</v>
      </c>
      <c r="M94" s="38" t="s">
        <v>51</v>
      </c>
      <c r="N94" s="38" t="s">
        <v>1381</v>
      </c>
      <c r="O94" s="38" t="s">
        <v>1382</v>
      </c>
      <c r="P94" s="38" t="s">
        <v>1335</v>
      </c>
      <c r="R94" t="str">
        <f t="shared" si="2"/>
        <v>강제 전선관 아연도  28 mm</v>
      </c>
    </row>
    <row r="95" spans="1:18" ht="20.100000000000001" customHeight="1" x14ac:dyDescent="0.3">
      <c r="A95" s="38" t="s">
        <v>51</v>
      </c>
      <c r="B95" s="38" t="s">
        <v>51</v>
      </c>
      <c r="C95" s="38" t="s">
        <v>51</v>
      </c>
      <c r="D95" s="39"/>
      <c r="E95" s="38" t="s">
        <v>51</v>
      </c>
      <c r="F95" s="38" t="s">
        <v>1408</v>
      </c>
      <c r="G95" s="38" t="s">
        <v>72</v>
      </c>
      <c r="H95" s="38" t="s">
        <v>82</v>
      </c>
      <c r="I95" s="38" t="s">
        <v>74</v>
      </c>
      <c r="J95" s="39">
        <v>1</v>
      </c>
      <c r="K95" s="89" t="s">
        <v>1405</v>
      </c>
      <c r="L95" s="39">
        <v>13</v>
      </c>
      <c r="M95" s="38" t="s">
        <v>51</v>
      </c>
      <c r="N95" s="38" t="s">
        <v>1381</v>
      </c>
      <c r="O95" s="38" t="s">
        <v>1382</v>
      </c>
      <c r="P95" s="38" t="s">
        <v>1335</v>
      </c>
      <c r="R95" t="str">
        <f t="shared" si="2"/>
        <v>강제 전선관 아연도  28 mm</v>
      </c>
    </row>
    <row r="96" spans="1:18" ht="20.100000000000001" customHeight="1" x14ac:dyDescent="0.3">
      <c r="A96" s="38" t="s">
        <v>1421</v>
      </c>
      <c r="B96" s="38" t="s">
        <v>1422</v>
      </c>
      <c r="C96" s="38" t="s">
        <v>1423</v>
      </c>
      <c r="D96" s="39">
        <v>16</v>
      </c>
      <c r="E96" s="38" t="s">
        <v>51</v>
      </c>
      <c r="F96" s="38" t="s">
        <v>1331</v>
      </c>
      <c r="G96" s="38" t="s">
        <v>55</v>
      </c>
      <c r="H96" s="38" t="s">
        <v>63</v>
      </c>
      <c r="I96" s="38" t="s">
        <v>57</v>
      </c>
      <c r="J96" s="39">
        <v>8</v>
      </c>
      <c r="K96" s="89" t="s">
        <v>1366</v>
      </c>
      <c r="L96" s="39">
        <v>128</v>
      </c>
      <c r="M96" s="38" t="s">
        <v>51</v>
      </c>
      <c r="N96" s="38" t="s">
        <v>1381</v>
      </c>
      <c r="O96" s="38" t="s">
        <v>1382</v>
      </c>
      <c r="P96" s="38" t="s">
        <v>1335</v>
      </c>
      <c r="R96" t="str">
        <f t="shared" si="2"/>
        <v>450/75OV 저독성난연가교폴리올레핀절연전선(HFIX) 1.78㎜</v>
      </c>
    </row>
    <row r="97" spans="1:18" ht="20.100000000000001" customHeight="1" x14ac:dyDescent="0.3">
      <c r="A97" s="38" t="s">
        <v>51</v>
      </c>
      <c r="B97" s="38" t="s">
        <v>51</v>
      </c>
      <c r="C97" s="38" t="s">
        <v>51</v>
      </c>
      <c r="D97" s="39"/>
      <c r="E97" s="38" t="s">
        <v>51</v>
      </c>
      <c r="F97" s="38" t="s">
        <v>1331</v>
      </c>
      <c r="G97" s="38" t="s">
        <v>55</v>
      </c>
      <c r="H97" s="38" t="s">
        <v>63</v>
      </c>
      <c r="I97" s="38" t="s">
        <v>57</v>
      </c>
      <c r="J97" s="39">
        <v>10</v>
      </c>
      <c r="K97" s="89" t="s">
        <v>1366</v>
      </c>
      <c r="L97" s="39">
        <v>160</v>
      </c>
      <c r="M97" s="38" t="s">
        <v>51</v>
      </c>
      <c r="N97" s="38" t="s">
        <v>1381</v>
      </c>
      <c r="O97" s="38" t="s">
        <v>1382</v>
      </c>
      <c r="P97" s="38" t="s">
        <v>1335</v>
      </c>
      <c r="R97" t="str">
        <f t="shared" si="2"/>
        <v>450/75OV 저독성난연가교폴리올레핀절연전선(HFIX) 1.78㎜</v>
      </c>
    </row>
    <row r="98" spans="1:18" ht="20.100000000000001" customHeight="1" x14ac:dyDescent="0.3">
      <c r="A98" s="38" t="s">
        <v>51</v>
      </c>
      <c r="B98" s="38" t="s">
        <v>51</v>
      </c>
      <c r="C98" s="38" t="s">
        <v>51</v>
      </c>
      <c r="D98" s="39"/>
      <c r="E98" s="38" t="s">
        <v>51</v>
      </c>
      <c r="F98" s="38" t="s">
        <v>1331</v>
      </c>
      <c r="G98" s="38" t="s">
        <v>55</v>
      </c>
      <c r="H98" s="38" t="s">
        <v>63</v>
      </c>
      <c r="I98" s="38" t="s">
        <v>57</v>
      </c>
      <c r="J98" s="39">
        <v>10</v>
      </c>
      <c r="K98" s="89" t="s">
        <v>1366</v>
      </c>
      <c r="L98" s="39">
        <v>160</v>
      </c>
      <c r="M98" s="38" t="s">
        <v>51</v>
      </c>
      <c r="N98" s="38" t="s">
        <v>1381</v>
      </c>
      <c r="O98" s="38" t="s">
        <v>1382</v>
      </c>
      <c r="P98" s="38" t="s">
        <v>1335</v>
      </c>
      <c r="R98" t="str">
        <f t="shared" si="2"/>
        <v>450/75OV 저독성난연가교폴리올레핀절연전선(HFIX) 1.78㎜</v>
      </c>
    </row>
    <row r="99" spans="1:18" ht="20.100000000000001" customHeight="1" x14ac:dyDescent="0.3">
      <c r="A99" s="38" t="s">
        <v>51</v>
      </c>
      <c r="B99" s="38" t="s">
        <v>51</v>
      </c>
      <c r="C99" s="38" t="s">
        <v>51</v>
      </c>
      <c r="D99" s="39"/>
      <c r="E99" s="38" t="s">
        <v>51</v>
      </c>
      <c r="F99" s="38" t="s">
        <v>1406</v>
      </c>
      <c r="G99" s="38" t="s">
        <v>1863</v>
      </c>
      <c r="H99" s="38" t="s">
        <v>1865</v>
      </c>
      <c r="I99" s="38" t="s">
        <v>93</v>
      </c>
      <c r="J99" s="39">
        <v>1</v>
      </c>
      <c r="K99" s="89" t="s">
        <v>1424</v>
      </c>
      <c r="L99" s="39">
        <v>10.666</v>
      </c>
      <c r="M99" s="38" t="s">
        <v>51</v>
      </c>
      <c r="N99" s="38" t="s">
        <v>1381</v>
      </c>
      <c r="O99" s="38" t="s">
        <v>1382</v>
      </c>
      <c r="P99" s="38" t="s">
        <v>1335</v>
      </c>
      <c r="R99" t="str">
        <f t="shared" si="2"/>
        <v>케이블클램프 케이블클램프, 접지크램프, 28C</v>
      </c>
    </row>
    <row r="100" spans="1:18" ht="20.100000000000001" customHeight="1" x14ac:dyDescent="0.3">
      <c r="A100" s="38" t="s">
        <v>51</v>
      </c>
      <c r="B100" s="38" t="s">
        <v>51</v>
      </c>
      <c r="C100" s="38" t="s">
        <v>51</v>
      </c>
      <c r="D100" s="39"/>
      <c r="E100" s="38" t="s">
        <v>51</v>
      </c>
      <c r="F100" s="38" t="s">
        <v>1406</v>
      </c>
      <c r="G100" s="38" t="s">
        <v>1863</v>
      </c>
      <c r="H100" s="38" t="s">
        <v>1865</v>
      </c>
      <c r="I100" s="38" t="s">
        <v>93</v>
      </c>
      <c r="J100" s="39">
        <v>1</v>
      </c>
      <c r="K100" s="89" t="s">
        <v>1424</v>
      </c>
      <c r="L100" s="39">
        <v>10.666</v>
      </c>
      <c r="M100" s="38" t="s">
        <v>51</v>
      </c>
      <c r="N100" s="38" t="s">
        <v>1381</v>
      </c>
      <c r="O100" s="38" t="s">
        <v>1382</v>
      </c>
      <c r="P100" s="38" t="s">
        <v>1335</v>
      </c>
      <c r="R100" t="str">
        <f t="shared" si="2"/>
        <v>케이블클램프 케이블클램프, 접지크램프, 28C</v>
      </c>
    </row>
    <row r="101" spans="1:18" ht="20.100000000000001" customHeight="1" x14ac:dyDescent="0.3">
      <c r="A101" s="38" t="s">
        <v>51</v>
      </c>
      <c r="B101" s="38" t="s">
        <v>51</v>
      </c>
      <c r="C101" s="38" t="s">
        <v>51</v>
      </c>
      <c r="D101" s="39"/>
      <c r="E101" s="38" t="s">
        <v>51</v>
      </c>
      <c r="F101" s="38" t="s">
        <v>1406</v>
      </c>
      <c r="G101" s="38" t="s">
        <v>1863</v>
      </c>
      <c r="H101" s="38" t="s">
        <v>1865</v>
      </c>
      <c r="I101" s="38" t="s">
        <v>93</v>
      </c>
      <c r="J101" s="39">
        <v>1</v>
      </c>
      <c r="K101" s="89" t="s">
        <v>1424</v>
      </c>
      <c r="L101" s="39">
        <v>10.666</v>
      </c>
      <c r="M101" s="38" t="s">
        <v>51</v>
      </c>
      <c r="N101" s="38" t="s">
        <v>1381</v>
      </c>
      <c r="O101" s="38" t="s">
        <v>1382</v>
      </c>
      <c r="P101" s="38" t="s">
        <v>1335</v>
      </c>
      <c r="R101" t="str">
        <f t="shared" si="2"/>
        <v>케이블클램프 케이블클램프, 접지크램프, 28C</v>
      </c>
    </row>
    <row r="102" spans="1:18" ht="20.100000000000001" customHeight="1" x14ac:dyDescent="0.3">
      <c r="A102" s="38" t="s">
        <v>51</v>
      </c>
      <c r="B102" s="38" t="s">
        <v>51</v>
      </c>
      <c r="C102" s="38" t="s">
        <v>51</v>
      </c>
      <c r="D102" s="39"/>
      <c r="E102" s="38" t="s">
        <v>51</v>
      </c>
      <c r="F102" s="38" t="s">
        <v>1408</v>
      </c>
      <c r="G102" s="38" t="s">
        <v>72</v>
      </c>
      <c r="H102" s="38" t="s">
        <v>82</v>
      </c>
      <c r="I102" s="38" t="s">
        <v>74</v>
      </c>
      <c r="J102" s="39">
        <v>1</v>
      </c>
      <c r="K102" s="89" t="s">
        <v>1366</v>
      </c>
      <c r="L102" s="39">
        <v>16</v>
      </c>
      <c r="M102" s="38" t="s">
        <v>51</v>
      </c>
      <c r="N102" s="38" t="s">
        <v>1381</v>
      </c>
      <c r="O102" s="38" t="s">
        <v>1382</v>
      </c>
      <c r="P102" s="38" t="s">
        <v>1335</v>
      </c>
      <c r="R102" t="str">
        <f t="shared" si="2"/>
        <v>강제 전선관 아연도  28 mm</v>
      </c>
    </row>
    <row r="103" spans="1:18" ht="20.100000000000001" customHeight="1" x14ac:dyDescent="0.3">
      <c r="A103" s="38" t="s">
        <v>51</v>
      </c>
      <c r="B103" s="38" t="s">
        <v>51</v>
      </c>
      <c r="C103" s="38" t="s">
        <v>51</v>
      </c>
      <c r="D103" s="39"/>
      <c r="E103" s="38" t="s">
        <v>51</v>
      </c>
      <c r="F103" s="38" t="s">
        <v>1408</v>
      </c>
      <c r="G103" s="38" t="s">
        <v>72</v>
      </c>
      <c r="H103" s="38" t="s">
        <v>82</v>
      </c>
      <c r="I103" s="38" t="s">
        <v>74</v>
      </c>
      <c r="J103" s="39">
        <v>1</v>
      </c>
      <c r="K103" s="89" t="s">
        <v>1366</v>
      </c>
      <c r="L103" s="39">
        <v>16</v>
      </c>
      <c r="M103" s="38" t="s">
        <v>51</v>
      </c>
      <c r="N103" s="38" t="s">
        <v>1381</v>
      </c>
      <c r="O103" s="38" t="s">
        <v>1382</v>
      </c>
      <c r="P103" s="38" t="s">
        <v>1335</v>
      </c>
      <c r="R103" t="str">
        <f t="shared" si="2"/>
        <v>강제 전선관 아연도  28 mm</v>
      </c>
    </row>
    <row r="104" spans="1:18" ht="20.100000000000001" customHeight="1" x14ac:dyDescent="0.3">
      <c r="A104" s="38" t="s">
        <v>51</v>
      </c>
      <c r="B104" s="38" t="s">
        <v>51</v>
      </c>
      <c r="C104" s="38" t="s">
        <v>51</v>
      </c>
      <c r="D104" s="39"/>
      <c r="E104" s="38" t="s">
        <v>51</v>
      </c>
      <c r="F104" s="38" t="s">
        <v>1408</v>
      </c>
      <c r="G104" s="38" t="s">
        <v>72</v>
      </c>
      <c r="H104" s="38" t="s">
        <v>82</v>
      </c>
      <c r="I104" s="38" t="s">
        <v>74</v>
      </c>
      <c r="J104" s="39">
        <v>1</v>
      </c>
      <c r="K104" s="89" t="s">
        <v>1366</v>
      </c>
      <c r="L104" s="39">
        <v>16</v>
      </c>
      <c r="M104" s="38" t="s">
        <v>51</v>
      </c>
      <c r="N104" s="38" t="s">
        <v>1381</v>
      </c>
      <c r="O104" s="38" t="s">
        <v>1382</v>
      </c>
      <c r="P104" s="38" t="s">
        <v>1335</v>
      </c>
      <c r="R104" t="str">
        <f t="shared" si="2"/>
        <v>강제 전선관 아연도  28 mm</v>
      </c>
    </row>
    <row r="105" spans="1:18" ht="20.100000000000001" customHeight="1" x14ac:dyDescent="0.3">
      <c r="A105" s="38" t="s">
        <v>1425</v>
      </c>
      <c r="B105" s="38" t="s">
        <v>1403</v>
      </c>
      <c r="C105" s="38" t="s">
        <v>1426</v>
      </c>
      <c r="D105" s="39">
        <v>10</v>
      </c>
      <c r="E105" s="38" t="s">
        <v>51</v>
      </c>
      <c r="F105" s="38" t="s">
        <v>1331</v>
      </c>
      <c r="G105" s="38" t="s">
        <v>55</v>
      </c>
      <c r="H105" s="38" t="s">
        <v>63</v>
      </c>
      <c r="I105" s="38" t="s">
        <v>57</v>
      </c>
      <c r="J105" s="39">
        <v>8</v>
      </c>
      <c r="K105" s="89" t="s">
        <v>1356</v>
      </c>
      <c r="L105" s="39">
        <v>80</v>
      </c>
      <c r="M105" s="38" t="s">
        <v>51</v>
      </c>
      <c r="N105" s="38" t="s">
        <v>1381</v>
      </c>
      <c r="O105" s="38" t="s">
        <v>1382</v>
      </c>
      <c r="P105" s="38" t="s">
        <v>1335</v>
      </c>
      <c r="R105" t="str">
        <f t="shared" si="2"/>
        <v>450/75OV 저독성난연가교폴리올레핀절연전선(HFIX) 1.78㎜</v>
      </c>
    </row>
    <row r="106" spans="1:18" ht="20.100000000000001" customHeight="1" x14ac:dyDescent="0.3">
      <c r="A106" s="38" t="s">
        <v>51</v>
      </c>
      <c r="B106" s="38" t="s">
        <v>51</v>
      </c>
      <c r="C106" s="38" t="s">
        <v>51</v>
      </c>
      <c r="D106" s="39"/>
      <c r="E106" s="38" t="s">
        <v>51</v>
      </c>
      <c r="F106" s="38" t="s">
        <v>1406</v>
      </c>
      <c r="G106" s="38" t="s">
        <v>1863</v>
      </c>
      <c r="H106" s="38" t="s">
        <v>1865</v>
      </c>
      <c r="I106" s="38" t="s">
        <v>93</v>
      </c>
      <c r="J106" s="39">
        <v>1</v>
      </c>
      <c r="K106" s="89" t="s">
        <v>1427</v>
      </c>
      <c r="L106" s="39">
        <v>6.6660000000000004</v>
      </c>
      <c r="M106" s="38" t="s">
        <v>51</v>
      </c>
      <c r="N106" s="38" t="s">
        <v>1381</v>
      </c>
      <c r="O106" s="38" t="s">
        <v>1382</v>
      </c>
      <c r="P106" s="38" t="s">
        <v>1335</v>
      </c>
      <c r="R106" t="str">
        <f t="shared" si="2"/>
        <v>케이블클램프 케이블클램프, 접지크램프, 28C</v>
      </c>
    </row>
    <row r="107" spans="1:18" ht="20.100000000000001" customHeight="1" x14ac:dyDescent="0.3">
      <c r="A107" s="38" t="s">
        <v>51</v>
      </c>
      <c r="B107" s="38" t="s">
        <v>51</v>
      </c>
      <c r="C107" s="38" t="s">
        <v>51</v>
      </c>
      <c r="D107" s="39"/>
      <c r="E107" s="38" t="s">
        <v>51</v>
      </c>
      <c r="F107" s="38" t="s">
        <v>1408</v>
      </c>
      <c r="G107" s="38" t="s">
        <v>72</v>
      </c>
      <c r="H107" s="38" t="s">
        <v>82</v>
      </c>
      <c r="I107" s="38" t="s">
        <v>74</v>
      </c>
      <c r="J107" s="39">
        <v>1</v>
      </c>
      <c r="K107" s="89" t="s">
        <v>1356</v>
      </c>
      <c r="L107" s="39">
        <v>10</v>
      </c>
      <c r="M107" s="38" t="s">
        <v>51</v>
      </c>
      <c r="N107" s="38" t="s">
        <v>1381</v>
      </c>
      <c r="O107" s="38" t="s">
        <v>1382</v>
      </c>
      <c r="P107" s="38" t="s">
        <v>1335</v>
      </c>
      <c r="R107" t="str">
        <f t="shared" si="2"/>
        <v>강제 전선관 아연도  28 mm</v>
      </c>
    </row>
    <row r="108" spans="1:18" ht="20.100000000000001" customHeight="1" x14ac:dyDescent="0.3">
      <c r="A108" s="38" t="s">
        <v>51</v>
      </c>
      <c r="B108" s="38" t="s">
        <v>51</v>
      </c>
      <c r="C108" s="38" t="s">
        <v>51</v>
      </c>
      <c r="D108" s="39"/>
      <c r="E108" s="38" t="s">
        <v>51</v>
      </c>
      <c r="F108" s="38" t="s">
        <v>1336</v>
      </c>
      <c r="G108" s="38" t="s">
        <v>1869</v>
      </c>
      <c r="H108" s="38" t="s">
        <v>1850</v>
      </c>
      <c r="I108" s="38" t="s">
        <v>1870</v>
      </c>
      <c r="J108" s="94">
        <v>1</v>
      </c>
      <c r="K108" s="95">
        <f>(L74+L79+L80+L85+L86+L93+L95+L94+L102+L103+L104+L107)/1.5*0.2*2.6</f>
        <v>54.080000000000005</v>
      </c>
      <c r="L108" s="94">
        <f>K108</f>
        <v>54.080000000000005</v>
      </c>
      <c r="M108" s="38" t="s">
        <v>51</v>
      </c>
      <c r="N108" s="38" t="s">
        <v>1333</v>
      </c>
      <c r="O108" s="38" t="s">
        <v>1334</v>
      </c>
      <c r="P108" s="38" t="s">
        <v>1335</v>
      </c>
      <c r="R108" t="str">
        <f t="shared" si="2"/>
        <v>"U"-CHANNEL 41*41*t2.6mm</v>
      </c>
    </row>
    <row r="109" spans="1:18" ht="20.100000000000001" customHeight="1" x14ac:dyDescent="0.3">
      <c r="A109" s="38" t="s">
        <v>51</v>
      </c>
      <c r="B109" s="38" t="s">
        <v>51</v>
      </c>
      <c r="C109" s="38" t="s">
        <v>51</v>
      </c>
      <c r="D109" s="39"/>
      <c r="E109" s="38" t="s">
        <v>51</v>
      </c>
      <c r="F109" s="38" t="s">
        <v>51</v>
      </c>
      <c r="G109" s="38" t="s">
        <v>51</v>
      </c>
      <c r="H109" s="38" t="s">
        <v>51</v>
      </c>
      <c r="I109" s="38" t="s">
        <v>51</v>
      </c>
      <c r="J109" s="39"/>
      <c r="K109" s="89" t="s">
        <v>51</v>
      </c>
      <c r="L109" s="39"/>
      <c r="M109" s="38" t="s">
        <v>51</v>
      </c>
      <c r="N109" s="38" t="s">
        <v>51</v>
      </c>
      <c r="O109" s="38" t="s">
        <v>51</v>
      </c>
      <c r="P109" s="38" t="s">
        <v>51</v>
      </c>
      <c r="R109" t="str">
        <f t="shared" si="2"/>
        <v xml:space="preserve"> </v>
      </c>
    </row>
    <row r="110" spans="1:18" ht="20.100000000000001" customHeight="1" x14ac:dyDescent="0.3">
      <c r="A110" s="38" t="s">
        <v>51</v>
      </c>
      <c r="B110" s="38" t="s">
        <v>51</v>
      </c>
      <c r="C110" s="38" t="s">
        <v>51</v>
      </c>
      <c r="D110" s="39"/>
      <c r="E110" s="38" t="s">
        <v>51</v>
      </c>
      <c r="F110" s="38" t="s">
        <v>51</v>
      </c>
      <c r="G110" s="38" t="s">
        <v>51</v>
      </c>
      <c r="H110" s="38" t="s">
        <v>51</v>
      </c>
      <c r="I110" s="38" t="s">
        <v>51</v>
      </c>
      <c r="J110" s="39"/>
      <c r="K110" s="89" t="s">
        <v>51</v>
      </c>
      <c r="L110" s="39"/>
      <c r="M110" s="38" t="s">
        <v>51</v>
      </c>
      <c r="N110" s="38" t="s">
        <v>51</v>
      </c>
      <c r="O110" s="38" t="s">
        <v>51</v>
      </c>
      <c r="P110" s="38" t="s">
        <v>51</v>
      </c>
      <c r="R110" t="str">
        <f t="shared" si="2"/>
        <v xml:space="preserve"> </v>
      </c>
    </row>
    <row r="111" spans="1:18" ht="20.100000000000001" customHeight="1" x14ac:dyDescent="0.3">
      <c r="A111" s="38" t="s">
        <v>1428</v>
      </c>
      <c r="B111" s="38" t="s">
        <v>51</v>
      </c>
      <c r="C111" s="38" t="s">
        <v>51</v>
      </c>
      <c r="D111" s="39"/>
      <c r="E111" s="38" t="s">
        <v>51</v>
      </c>
      <c r="F111" s="38" t="s">
        <v>51</v>
      </c>
      <c r="G111" s="38" t="s">
        <v>51</v>
      </c>
      <c r="H111" s="38" t="s">
        <v>51</v>
      </c>
      <c r="I111" s="38" t="s">
        <v>51</v>
      </c>
      <c r="J111" s="39"/>
      <c r="K111" s="89" t="s">
        <v>51</v>
      </c>
      <c r="L111" s="39"/>
      <c r="M111" s="38" t="s">
        <v>51</v>
      </c>
      <c r="N111" s="38" t="s">
        <v>51</v>
      </c>
      <c r="O111" s="38" t="s">
        <v>51</v>
      </c>
      <c r="P111" s="38" t="s">
        <v>51</v>
      </c>
      <c r="R111" t="str">
        <f t="shared" si="2"/>
        <v xml:space="preserve"> </v>
      </c>
    </row>
    <row r="112" spans="1:18" ht="20.100000000000001" customHeight="1" x14ac:dyDescent="0.3">
      <c r="A112" s="38" t="s">
        <v>51</v>
      </c>
      <c r="B112" s="38" t="s">
        <v>51</v>
      </c>
      <c r="C112" s="38" t="s">
        <v>51</v>
      </c>
      <c r="D112" s="39"/>
      <c r="E112" s="38" t="s">
        <v>51</v>
      </c>
      <c r="F112" s="38" t="s">
        <v>51</v>
      </c>
      <c r="G112" s="38" t="s">
        <v>51</v>
      </c>
      <c r="H112" s="38" t="s">
        <v>51</v>
      </c>
      <c r="I112" s="38" t="s">
        <v>51</v>
      </c>
      <c r="J112" s="39"/>
      <c r="K112" s="89" t="s">
        <v>51</v>
      </c>
      <c r="L112" s="39"/>
      <c r="M112" s="38" t="s">
        <v>51</v>
      </c>
      <c r="N112" s="38" t="s">
        <v>51</v>
      </c>
      <c r="O112" s="38" t="s">
        <v>51</v>
      </c>
      <c r="P112" s="38" t="s">
        <v>51</v>
      </c>
      <c r="R112" t="str">
        <f t="shared" si="2"/>
        <v xml:space="preserve"> </v>
      </c>
    </row>
    <row r="113" spans="1:18" ht="20.100000000000001" customHeight="1" x14ac:dyDescent="0.3">
      <c r="A113" s="38" t="s">
        <v>1429</v>
      </c>
      <c r="B113" s="38" t="s">
        <v>1380</v>
      </c>
      <c r="C113" s="38" t="s">
        <v>1430</v>
      </c>
      <c r="D113" s="39">
        <v>23</v>
      </c>
      <c r="E113" s="38" t="s">
        <v>51</v>
      </c>
      <c r="F113" s="38" t="s">
        <v>1331</v>
      </c>
      <c r="G113" s="38" t="s">
        <v>55</v>
      </c>
      <c r="H113" s="38" t="s">
        <v>63</v>
      </c>
      <c r="I113" s="38" t="s">
        <v>57</v>
      </c>
      <c r="J113" s="39">
        <v>2</v>
      </c>
      <c r="K113" s="89" t="s">
        <v>1431</v>
      </c>
      <c r="L113" s="39">
        <v>46</v>
      </c>
      <c r="M113" s="38" t="s">
        <v>51</v>
      </c>
      <c r="N113" s="38" t="s">
        <v>1381</v>
      </c>
      <c r="O113" s="38" t="s">
        <v>1382</v>
      </c>
      <c r="P113" s="38" t="s">
        <v>1335</v>
      </c>
      <c r="R113" t="str">
        <f t="shared" si="2"/>
        <v>450/75OV 저독성난연가교폴리올레핀절연전선(HFIX) 1.78㎜</v>
      </c>
    </row>
    <row r="114" spans="1:18" ht="20.100000000000001" customHeight="1" x14ac:dyDescent="0.3">
      <c r="A114" s="38" t="s">
        <v>51</v>
      </c>
      <c r="B114" s="38" t="s">
        <v>51</v>
      </c>
      <c r="C114" s="38" t="s">
        <v>51</v>
      </c>
      <c r="D114" s="39"/>
      <c r="E114" s="38" t="s">
        <v>51</v>
      </c>
      <c r="F114" s="38" t="s">
        <v>1383</v>
      </c>
      <c r="G114" s="38" t="s">
        <v>1863</v>
      </c>
      <c r="H114" s="38" t="s">
        <v>1864</v>
      </c>
      <c r="I114" s="38" t="s">
        <v>93</v>
      </c>
      <c r="J114" s="39">
        <v>1</v>
      </c>
      <c r="K114" s="89" t="s">
        <v>1432</v>
      </c>
      <c r="L114" s="39">
        <v>15.333</v>
      </c>
      <c r="M114" s="38" t="s">
        <v>51</v>
      </c>
      <c r="N114" s="38" t="s">
        <v>1381</v>
      </c>
      <c r="O114" s="38" t="s">
        <v>1382</v>
      </c>
      <c r="P114" s="38" t="s">
        <v>1335</v>
      </c>
      <c r="R114" t="str">
        <f t="shared" si="2"/>
        <v>케이블클램프 케이블클램프, 접지크램프, 16C</v>
      </c>
    </row>
    <row r="115" spans="1:18" ht="20.100000000000001" customHeight="1" x14ac:dyDescent="0.3">
      <c r="A115" s="38" t="s">
        <v>51</v>
      </c>
      <c r="B115" s="38" t="s">
        <v>51</v>
      </c>
      <c r="C115" s="38" t="s">
        <v>51</v>
      </c>
      <c r="D115" s="39"/>
      <c r="E115" s="38" t="s">
        <v>51</v>
      </c>
      <c r="F115" s="38" t="s">
        <v>1385</v>
      </c>
      <c r="G115" s="38" t="s">
        <v>72</v>
      </c>
      <c r="H115" s="38" t="s">
        <v>73</v>
      </c>
      <c r="I115" s="38" t="s">
        <v>74</v>
      </c>
      <c r="J115" s="39">
        <v>1</v>
      </c>
      <c r="K115" s="89" t="s">
        <v>1431</v>
      </c>
      <c r="L115" s="39">
        <v>23</v>
      </c>
      <c r="M115" s="38" t="s">
        <v>51</v>
      </c>
      <c r="N115" s="38" t="s">
        <v>1381</v>
      </c>
      <c r="O115" s="38" t="s">
        <v>1382</v>
      </c>
      <c r="P115" s="38" t="s">
        <v>1335</v>
      </c>
      <c r="R115" t="str">
        <f t="shared" si="2"/>
        <v>강제 전선관 아연도  16 mm</v>
      </c>
    </row>
    <row r="116" spans="1:18" ht="20.100000000000001" customHeight="1" x14ac:dyDescent="0.3">
      <c r="A116" s="38" t="s">
        <v>51</v>
      </c>
      <c r="B116" s="38" t="s">
        <v>51</v>
      </c>
      <c r="C116" s="38" t="s">
        <v>51</v>
      </c>
      <c r="D116" s="39"/>
      <c r="E116" s="38" t="s">
        <v>51</v>
      </c>
      <c r="F116" s="38" t="s">
        <v>1336</v>
      </c>
      <c r="G116" s="38" t="s">
        <v>1869</v>
      </c>
      <c r="H116" s="38" t="s">
        <v>1850</v>
      </c>
      <c r="I116" s="38" t="s">
        <v>1870</v>
      </c>
      <c r="J116" s="94">
        <v>1</v>
      </c>
      <c r="K116" s="95">
        <f>L115/1.5*0.2*2.6</f>
        <v>7.9733333333333345</v>
      </c>
      <c r="L116" s="94">
        <f>K116</f>
        <v>7.9733333333333345</v>
      </c>
      <c r="M116" s="38" t="s">
        <v>51</v>
      </c>
      <c r="N116" s="38" t="s">
        <v>1333</v>
      </c>
      <c r="O116" s="38" t="s">
        <v>1334</v>
      </c>
      <c r="P116" s="38" t="s">
        <v>1335</v>
      </c>
      <c r="R116" t="str">
        <f t="shared" ref="R116" si="3">CONCATENATE(G116," ",H116)</f>
        <v>"U"-CHANNEL 41*41*t2.6mm</v>
      </c>
    </row>
    <row r="117" spans="1:18" ht="20.100000000000001" customHeight="1" x14ac:dyDescent="0.3">
      <c r="A117" s="38" t="s">
        <v>51</v>
      </c>
      <c r="B117" s="38" t="s">
        <v>51</v>
      </c>
      <c r="C117" s="38" t="s">
        <v>51</v>
      </c>
      <c r="D117" s="39"/>
      <c r="E117" s="38" t="s">
        <v>51</v>
      </c>
      <c r="F117" s="38" t="s">
        <v>51</v>
      </c>
      <c r="G117" s="38" t="s">
        <v>51</v>
      </c>
      <c r="H117" s="38" t="s">
        <v>51</v>
      </c>
      <c r="I117" s="38" t="s">
        <v>51</v>
      </c>
      <c r="J117" s="39"/>
      <c r="K117" s="89" t="s">
        <v>51</v>
      </c>
      <c r="L117" s="39"/>
      <c r="M117" s="38" t="s">
        <v>51</v>
      </c>
      <c r="N117" s="38" t="s">
        <v>51</v>
      </c>
      <c r="O117" s="38" t="s">
        <v>51</v>
      </c>
      <c r="P117" s="38" t="s">
        <v>51</v>
      </c>
      <c r="R117" t="str">
        <f t="shared" si="2"/>
        <v xml:space="preserve"> </v>
      </c>
    </row>
    <row r="118" spans="1:18" ht="20.100000000000001" customHeight="1" x14ac:dyDescent="0.3">
      <c r="A118" s="38" t="s">
        <v>51</v>
      </c>
      <c r="B118" s="38" t="s">
        <v>51</v>
      </c>
      <c r="C118" s="38" t="s">
        <v>51</v>
      </c>
      <c r="D118" s="39"/>
      <c r="E118" s="38" t="s">
        <v>51</v>
      </c>
      <c r="F118" s="38" t="s">
        <v>51</v>
      </c>
      <c r="G118" s="38" t="s">
        <v>51</v>
      </c>
      <c r="H118" s="38" t="s">
        <v>51</v>
      </c>
      <c r="I118" s="38" t="s">
        <v>51</v>
      </c>
      <c r="J118" s="39"/>
      <c r="K118" s="89" t="s">
        <v>51</v>
      </c>
      <c r="L118" s="39"/>
      <c r="M118" s="38" t="s">
        <v>51</v>
      </c>
      <c r="N118" s="38" t="s">
        <v>51</v>
      </c>
      <c r="O118" s="38" t="s">
        <v>51</v>
      </c>
      <c r="P118" s="38" t="s">
        <v>51</v>
      </c>
      <c r="R118" t="str">
        <f t="shared" si="2"/>
        <v xml:space="preserve"> </v>
      </c>
    </row>
    <row r="119" spans="1:18" ht="20.100000000000001" customHeight="1" x14ac:dyDescent="0.3">
      <c r="A119" s="38" t="s">
        <v>1353</v>
      </c>
      <c r="B119" s="38" t="s">
        <v>51</v>
      </c>
      <c r="C119" s="38" t="s">
        <v>51</v>
      </c>
      <c r="D119" s="39"/>
      <c r="E119" s="38" t="s">
        <v>51</v>
      </c>
      <c r="F119" s="38" t="s">
        <v>51</v>
      </c>
      <c r="G119" s="38" t="s">
        <v>51</v>
      </c>
      <c r="H119" s="38" t="s">
        <v>51</v>
      </c>
      <c r="I119" s="38" t="s">
        <v>51</v>
      </c>
      <c r="J119" s="39"/>
      <c r="K119" s="89" t="s">
        <v>51</v>
      </c>
      <c r="L119" s="39"/>
      <c r="M119" s="38" t="s">
        <v>51</v>
      </c>
      <c r="N119" s="38" t="s">
        <v>51</v>
      </c>
      <c r="O119" s="38" t="s">
        <v>51</v>
      </c>
      <c r="P119" s="38" t="s">
        <v>51</v>
      </c>
      <c r="R119" t="str">
        <f t="shared" si="2"/>
        <v xml:space="preserve"> </v>
      </c>
    </row>
    <row r="120" spans="1:18" ht="20.100000000000001" customHeight="1" x14ac:dyDescent="0.3">
      <c r="A120" s="38" t="s">
        <v>51</v>
      </c>
      <c r="B120" s="38" t="s">
        <v>51</v>
      </c>
      <c r="C120" s="38" t="s">
        <v>51</v>
      </c>
      <c r="D120" s="39"/>
      <c r="E120" s="38" t="s">
        <v>51</v>
      </c>
      <c r="F120" s="38" t="s">
        <v>51</v>
      </c>
      <c r="G120" s="38" t="s">
        <v>51</v>
      </c>
      <c r="H120" s="38" t="s">
        <v>51</v>
      </c>
      <c r="I120" s="38" t="s">
        <v>51</v>
      </c>
      <c r="J120" s="39"/>
      <c r="K120" s="89" t="s">
        <v>51</v>
      </c>
      <c r="L120" s="39"/>
      <c r="M120" s="38" t="s">
        <v>51</v>
      </c>
      <c r="N120" s="38" t="s">
        <v>51</v>
      </c>
      <c r="O120" s="38" t="s">
        <v>51</v>
      </c>
      <c r="P120" s="38" t="s">
        <v>51</v>
      </c>
      <c r="R120" t="str">
        <f t="shared" si="2"/>
        <v xml:space="preserve"> </v>
      </c>
    </row>
    <row r="121" spans="1:18" ht="20.100000000000001" customHeight="1" x14ac:dyDescent="0.3">
      <c r="A121" s="38" t="s">
        <v>121</v>
      </c>
      <c r="B121" s="38" t="s">
        <v>51</v>
      </c>
      <c r="C121" s="38" t="s">
        <v>1361</v>
      </c>
      <c r="D121" s="39">
        <v>1</v>
      </c>
      <c r="E121" s="38" t="s">
        <v>51</v>
      </c>
      <c r="F121" s="38" t="s">
        <v>1433</v>
      </c>
      <c r="G121" s="38" t="s">
        <v>121</v>
      </c>
      <c r="H121" s="38" t="s">
        <v>51</v>
      </c>
      <c r="I121" s="38" t="s">
        <v>122</v>
      </c>
      <c r="J121" s="39">
        <v>1</v>
      </c>
      <c r="K121" s="89" t="s">
        <v>1361</v>
      </c>
      <c r="L121" s="39">
        <v>1</v>
      </c>
      <c r="M121" s="38" t="s">
        <v>51</v>
      </c>
      <c r="N121" s="38" t="s">
        <v>1381</v>
      </c>
      <c r="O121" s="38" t="s">
        <v>1382</v>
      </c>
      <c r="P121" s="38" t="s">
        <v>1335</v>
      </c>
      <c r="R121" t="str">
        <f t="shared" si="2"/>
        <v xml:space="preserve">가스수신반 </v>
      </c>
    </row>
    <row r="122" spans="1:18" ht="20.100000000000001" customHeight="1" x14ac:dyDescent="0.3">
      <c r="A122" s="38" t="s">
        <v>51</v>
      </c>
      <c r="B122" s="38" t="s">
        <v>51</v>
      </c>
      <c r="C122" s="38" t="s">
        <v>51</v>
      </c>
      <c r="D122" s="39"/>
      <c r="E122" s="38" t="s">
        <v>51</v>
      </c>
      <c r="F122" s="38" t="s">
        <v>1434</v>
      </c>
      <c r="G122" s="38" t="s">
        <v>131</v>
      </c>
      <c r="H122" s="38" t="s">
        <v>51</v>
      </c>
      <c r="I122" s="38" t="s">
        <v>132</v>
      </c>
      <c r="J122" s="39">
        <v>1</v>
      </c>
      <c r="K122" s="89" t="s">
        <v>1361</v>
      </c>
      <c r="L122" s="39">
        <v>1</v>
      </c>
      <c r="M122" s="38" t="s">
        <v>51</v>
      </c>
      <c r="N122" s="38" t="s">
        <v>1381</v>
      </c>
      <c r="O122" s="38" t="s">
        <v>1382</v>
      </c>
      <c r="P122" s="38" t="s">
        <v>1335</v>
      </c>
      <c r="R122" t="str">
        <f t="shared" si="2"/>
        <v xml:space="preserve">경종 설치 </v>
      </c>
    </row>
    <row r="123" spans="1:18" ht="20.100000000000001" customHeight="1" x14ac:dyDescent="0.3">
      <c r="A123" s="38" t="s">
        <v>862</v>
      </c>
      <c r="B123" s="38" t="s">
        <v>1435</v>
      </c>
      <c r="C123" s="38" t="s">
        <v>1373</v>
      </c>
      <c r="D123" s="39">
        <v>6</v>
      </c>
      <c r="E123" s="38" t="s">
        <v>51</v>
      </c>
      <c r="F123" s="38" t="s">
        <v>1436</v>
      </c>
      <c r="G123" s="38" t="s">
        <v>145</v>
      </c>
      <c r="H123" s="38" t="s">
        <v>146</v>
      </c>
      <c r="I123" s="38" t="s">
        <v>132</v>
      </c>
      <c r="J123" s="39">
        <v>1</v>
      </c>
      <c r="K123" s="89" t="s">
        <v>1373</v>
      </c>
      <c r="L123" s="39">
        <v>6</v>
      </c>
      <c r="M123" s="38" t="s">
        <v>51</v>
      </c>
      <c r="N123" s="38" t="s">
        <v>1381</v>
      </c>
      <c r="O123" s="38" t="s">
        <v>1382</v>
      </c>
      <c r="P123" s="38" t="s">
        <v>1335</v>
      </c>
      <c r="R123" t="str">
        <f t="shared" si="2"/>
        <v>전자사이렌 설치 DC 24V</v>
      </c>
    </row>
    <row r="124" spans="1:18" ht="20.100000000000001" customHeight="1" x14ac:dyDescent="0.3">
      <c r="A124" s="38" t="s">
        <v>51</v>
      </c>
      <c r="B124" s="38" t="s">
        <v>51</v>
      </c>
      <c r="C124" s="38" t="s">
        <v>51</v>
      </c>
      <c r="D124" s="39"/>
      <c r="E124" s="38" t="s">
        <v>51</v>
      </c>
      <c r="F124" s="38" t="s">
        <v>1437</v>
      </c>
      <c r="G124" s="38" t="s">
        <v>181</v>
      </c>
      <c r="H124" s="38" t="s">
        <v>182</v>
      </c>
      <c r="I124" s="38" t="s">
        <v>122</v>
      </c>
      <c r="J124" s="39">
        <v>1</v>
      </c>
      <c r="K124" s="89" t="s">
        <v>1373</v>
      </c>
      <c r="L124" s="39">
        <v>6</v>
      </c>
      <c r="M124" s="38" t="s">
        <v>51</v>
      </c>
      <c r="N124" s="38" t="s">
        <v>1381</v>
      </c>
      <c r="O124" s="38" t="s">
        <v>1382</v>
      </c>
      <c r="P124" s="38" t="s">
        <v>1335</v>
      </c>
      <c r="R124" t="str">
        <f t="shared" si="2"/>
        <v>아우트렛박스 중형4각 54㎜</v>
      </c>
    </row>
    <row r="125" spans="1:18" ht="20.100000000000001" customHeight="1" x14ac:dyDescent="0.3">
      <c r="A125" s="38" t="s">
        <v>1438</v>
      </c>
      <c r="B125" s="38" t="s">
        <v>1439</v>
      </c>
      <c r="C125" s="38" t="s">
        <v>1356</v>
      </c>
      <c r="D125" s="39">
        <v>10</v>
      </c>
      <c r="E125" s="38" t="s">
        <v>51</v>
      </c>
      <c r="F125" s="38" t="s">
        <v>1440</v>
      </c>
      <c r="G125" s="38" t="s">
        <v>136</v>
      </c>
      <c r="H125" s="38" t="s">
        <v>137</v>
      </c>
      <c r="I125" s="38" t="s">
        <v>132</v>
      </c>
      <c r="J125" s="39">
        <v>1</v>
      </c>
      <c r="K125" s="89" t="s">
        <v>1356</v>
      </c>
      <c r="L125" s="39">
        <v>10</v>
      </c>
      <c r="M125" s="38" t="s">
        <v>51</v>
      </c>
      <c r="N125" s="38" t="s">
        <v>1381</v>
      </c>
      <c r="O125" s="38" t="s">
        <v>1382</v>
      </c>
      <c r="P125" s="38" t="s">
        <v>1335</v>
      </c>
      <c r="R125" t="str">
        <f t="shared" si="2"/>
        <v>화재감지기 열감지기,차동식스포트형</v>
      </c>
    </row>
    <row r="126" spans="1:18" ht="20.100000000000001" customHeight="1" x14ac:dyDescent="0.3">
      <c r="A126" s="38" t="s">
        <v>851</v>
      </c>
      <c r="B126" s="38" t="s">
        <v>1441</v>
      </c>
      <c r="C126" s="38" t="s">
        <v>1356</v>
      </c>
      <c r="D126" s="39">
        <v>10</v>
      </c>
      <c r="E126" s="38" t="s">
        <v>51</v>
      </c>
      <c r="F126" s="38" t="s">
        <v>1442</v>
      </c>
      <c r="G126" s="38" t="s">
        <v>136</v>
      </c>
      <c r="H126" s="38" t="s">
        <v>141</v>
      </c>
      <c r="I126" s="38" t="s">
        <v>132</v>
      </c>
      <c r="J126" s="39">
        <v>1</v>
      </c>
      <c r="K126" s="89" t="s">
        <v>1356</v>
      </c>
      <c r="L126" s="39">
        <v>10</v>
      </c>
      <c r="M126" s="38" t="s">
        <v>51</v>
      </c>
      <c r="N126" s="38" t="s">
        <v>1381</v>
      </c>
      <c r="O126" s="38" t="s">
        <v>1382</v>
      </c>
      <c r="P126" s="38" t="s">
        <v>1335</v>
      </c>
      <c r="R126" t="str">
        <f t="shared" si="2"/>
        <v>화재감지기 연기감지기,광전식2종-비축적</v>
      </c>
    </row>
    <row r="127" spans="1:18" ht="20.100000000000001" customHeight="1" x14ac:dyDescent="0.3">
      <c r="A127" s="38" t="s">
        <v>51</v>
      </c>
      <c r="B127" s="38" t="s">
        <v>1443</v>
      </c>
      <c r="C127" s="38" t="s">
        <v>1444</v>
      </c>
      <c r="D127" s="39">
        <v>36</v>
      </c>
      <c r="E127" s="38" t="s">
        <v>51</v>
      </c>
      <c r="F127" s="38" t="s">
        <v>1445</v>
      </c>
      <c r="G127" s="38" t="s">
        <v>105</v>
      </c>
      <c r="H127" s="38" t="s">
        <v>106</v>
      </c>
      <c r="I127" s="38" t="s">
        <v>107</v>
      </c>
      <c r="J127" s="39">
        <v>1</v>
      </c>
      <c r="K127" s="89" t="s">
        <v>1444</v>
      </c>
      <c r="L127" s="39">
        <v>36</v>
      </c>
      <c r="M127" s="38" t="s">
        <v>51</v>
      </c>
      <c r="N127" s="38" t="s">
        <v>1381</v>
      </c>
      <c r="O127" s="38" t="s">
        <v>1382</v>
      </c>
      <c r="P127" s="38" t="s">
        <v>1335</v>
      </c>
      <c r="R127" t="str">
        <f t="shared" si="2"/>
        <v>잡철물설치(철제) 간단</v>
      </c>
    </row>
    <row r="128" spans="1:18" ht="20.100000000000001" customHeight="1" x14ac:dyDescent="0.3">
      <c r="A128" s="38" t="s">
        <v>51</v>
      </c>
      <c r="B128" s="38" t="s">
        <v>195</v>
      </c>
      <c r="C128" s="38" t="s">
        <v>1446</v>
      </c>
      <c r="D128" s="39">
        <v>4</v>
      </c>
      <c r="E128" s="38" t="s">
        <v>51</v>
      </c>
      <c r="F128" s="38" t="s">
        <v>1447</v>
      </c>
      <c r="G128" s="38" t="s">
        <v>195</v>
      </c>
      <c r="H128" s="38" t="s">
        <v>196</v>
      </c>
      <c r="I128" s="38" t="s">
        <v>122</v>
      </c>
      <c r="J128" s="39">
        <v>1</v>
      </c>
      <c r="K128" s="89" t="s">
        <v>1446</v>
      </c>
      <c r="L128" s="39">
        <v>4</v>
      </c>
      <c r="M128" s="38" t="s">
        <v>51</v>
      </c>
      <c r="N128" s="38" t="s">
        <v>1381</v>
      </c>
      <c r="O128" s="38" t="s">
        <v>1382</v>
      </c>
      <c r="P128" s="38" t="s">
        <v>1335</v>
      </c>
      <c r="R128" t="str">
        <f t="shared" si="2"/>
        <v>강관 조립말비계(이동식)설치 및 해체 높이 4m, 3개월</v>
      </c>
    </row>
    <row r="129" spans="1:18" ht="20.100000000000001" customHeight="1" x14ac:dyDescent="0.3">
      <c r="A129" s="38" t="s">
        <v>1448</v>
      </c>
      <c r="B129" s="38" t="s">
        <v>835</v>
      </c>
      <c r="C129" s="38" t="s">
        <v>1449</v>
      </c>
      <c r="D129" s="39">
        <v>4</v>
      </c>
      <c r="E129" s="38" t="s">
        <v>51</v>
      </c>
      <c r="F129" s="38" t="s">
        <v>1450</v>
      </c>
      <c r="G129" s="38" t="s">
        <v>186</v>
      </c>
      <c r="H129" s="38" t="s">
        <v>51</v>
      </c>
      <c r="I129" s="38" t="s">
        <v>122</v>
      </c>
      <c r="J129" s="39">
        <v>1</v>
      </c>
      <c r="K129" s="89" t="s">
        <v>1446</v>
      </c>
      <c r="L129" s="39">
        <v>4</v>
      </c>
      <c r="M129" s="38" t="s">
        <v>51</v>
      </c>
      <c r="N129" s="38" t="s">
        <v>1381</v>
      </c>
      <c r="O129" s="38" t="s">
        <v>1382</v>
      </c>
      <c r="P129" s="38" t="s">
        <v>1335</v>
      </c>
      <c r="R129" t="str">
        <f t="shared" si="2"/>
        <v xml:space="preserve">덕트관통부채움 </v>
      </c>
    </row>
    <row r="130" spans="1:18" ht="20.100000000000001" customHeight="1" x14ac:dyDescent="0.3">
      <c r="A130" s="38" t="s">
        <v>51</v>
      </c>
      <c r="B130" s="38" t="s">
        <v>845</v>
      </c>
      <c r="C130" s="38" t="s">
        <v>1361</v>
      </c>
      <c r="D130" s="39">
        <v>1</v>
      </c>
      <c r="E130" s="38" t="s">
        <v>51</v>
      </c>
      <c r="F130" s="38" t="s">
        <v>1451</v>
      </c>
      <c r="G130" s="38" t="s">
        <v>191</v>
      </c>
      <c r="H130" s="38" t="s">
        <v>51</v>
      </c>
      <c r="I130" s="38" t="s">
        <v>122</v>
      </c>
      <c r="J130" s="39">
        <v>1</v>
      </c>
      <c r="K130" s="89" t="s">
        <v>1361</v>
      </c>
      <c r="L130" s="39">
        <v>1</v>
      </c>
      <c r="M130" s="38" t="s">
        <v>51</v>
      </c>
      <c r="N130" s="38" t="s">
        <v>1381</v>
      </c>
      <c r="O130" s="38" t="s">
        <v>1382</v>
      </c>
      <c r="P130" s="38" t="s">
        <v>1335</v>
      </c>
      <c r="R130" t="str">
        <f t="shared" si="2"/>
        <v xml:space="preserve">배관관통부채움 </v>
      </c>
    </row>
    <row r="131" spans="1:18" ht="20.100000000000001" customHeight="1" x14ac:dyDescent="0.3">
      <c r="A131" s="38" t="s">
        <v>51</v>
      </c>
      <c r="B131" s="38" t="s">
        <v>1452</v>
      </c>
      <c r="C131" s="38" t="s">
        <v>1076</v>
      </c>
      <c r="D131" s="39">
        <v>5</v>
      </c>
      <c r="E131" s="38" t="s">
        <v>51</v>
      </c>
      <c r="F131" s="38" t="s">
        <v>969</v>
      </c>
      <c r="G131" s="38" t="s">
        <v>200</v>
      </c>
      <c r="H131" s="38" t="s">
        <v>201</v>
      </c>
      <c r="I131" s="38" t="s">
        <v>132</v>
      </c>
      <c r="J131" s="39">
        <v>1</v>
      </c>
      <c r="K131" s="89" t="s">
        <v>1076</v>
      </c>
      <c r="L131" s="39">
        <v>5</v>
      </c>
      <c r="M131" s="38" t="s">
        <v>51</v>
      </c>
      <c r="N131" s="38" t="s">
        <v>1381</v>
      </c>
      <c r="O131" s="38" t="s">
        <v>1382</v>
      </c>
      <c r="P131" s="38" t="s">
        <v>1335</v>
      </c>
      <c r="R131" t="str">
        <f t="shared" si="2"/>
        <v>방화실리콘 실란트 300ml</v>
      </c>
    </row>
    <row r="132" spans="1:18" x14ac:dyDescent="0.3">
      <c r="A132" s="9" t="s">
        <v>51</v>
      </c>
      <c r="B132" s="9" t="s">
        <v>51</v>
      </c>
      <c r="C132" s="9" t="s">
        <v>51</v>
      </c>
      <c r="E132" s="9" t="s">
        <v>51</v>
      </c>
      <c r="F132" s="9" t="s">
        <v>51</v>
      </c>
      <c r="G132" s="9" t="s">
        <v>51</v>
      </c>
      <c r="H132" s="9" t="s">
        <v>51</v>
      </c>
      <c r="I132" s="9" t="s">
        <v>51</v>
      </c>
      <c r="K132" s="91" t="s">
        <v>51</v>
      </c>
      <c r="M132" s="9" t="s">
        <v>51</v>
      </c>
      <c r="N132" s="9" t="s">
        <v>51</v>
      </c>
      <c r="O132" s="9" t="s">
        <v>51</v>
      </c>
      <c r="P132" s="9" t="s">
        <v>51</v>
      </c>
      <c r="R132" t="str">
        <f t="shared" si="2"/>
        <v xml:space="preserve"> </v>
      </c>
    </row>
    <row r="133" spans="1:18" ht="20.100000000000001" customHeight="1" x14ac:dyDescent="0.3">
      <c r="A133" s="117" t="s">
        <v>1453</v>
      </c>
      <c r="B133" s="117"/>
      <c r="C133" s="117"/>
      <c r="D133" s="117"/>
      <c r="E133" s="117"/>
      <c r="F133" s="117"/>
      <c r="G133" s="117"/>
      <c r="H133" s="117"/>
      <c r="I133" s="117"/>
      <c r="J133" s="117"/>
      <c r="K133" s="117"/>
      <c r="L133" s="117"/>
      <c r="M133" s="117"/>
      <c r="N133" s="117"/>
      <c r="O133" s="117"/>
      <c r="P133" s="117"/>
      <c r="R133" t="str">
        <f t="shared" si="2"/>
        <v xml:space="preserve"> </v>
      </c>
    </row>
    <row r="134" spans="1:18" ht="30" customHeight="1" x14ac:dyDescent="0.3">
      <c r="A134" s="37" t="s">
        <v>1314</v>
      </c>
      <c r="B134" s="37" t="s">
        <v>1315</v>
      </c>
      <c r="C134" s="37" t="s">
        <v>1316</v>
      </c>
      <c r="D134" s="37" t="s">
        <v>1317</v>
      </c>
      <c r="E134" s="37" t="s">
        <v>12</v>
      </c>
      <c r="F134" s="37" t="s">
        <v>1318</v>
      </c>
      <c r="G134" s="37" t="s">
        <v>1319</v>
      </c>
      <c r="H134" s="37" t="s">
        <v>1320</v>
      </c>
      <c r="I134" s="37" t="s">
        <v>4</v>
      </c>
      <c r="J134" s="37" t="s">
        <v>1321</v>
      </c>
      <c r="K134" s="90" t="s">
        <v>1322</v>
      </c>
      <c r="L134" s="37" t="s">
        <v>1323</v>
      </c>
      <c r="M134" s="37" t="s">
        <v>12</v>
      </c>
      <c r="N134" s="37" t="s">
        <v>1324</v>
      </c>
      <c r="O134" s="37" t="s">
        <v>1325</v>
      </c>
      <c r="P134" s="37" t="s">
        <v>1326</v>
      </c>
      <c r="R134" t="str">
        <f t="shared" si="2"/>
        <v>품        명 규        격</v>
      </c>
    </row>
    <row r="135" spans="1:18" ht="20.100000000000001" customHeight="1" x14ac:dyDescent="0.3">
      <c r="A135" s="38" t="s">
        <v>1378</v>
      </c>
      <c r="B135" s="38" t="s">
        <v>51</v>
      </c>
      <c r="C135" s="38" t="s">
        <v>51</v>
      </c>
      <c r="D135" s="39"/>
      <c r="E135" s="38" t="s">
        <v>51</v>
      </c>
      <c r="F135" s="38" t="s">
        <v>51</v>
      </c>
      <c r="G135" s="38" t="s">
        <v>51</v>
      </c>
      <c r="H135" s="38" t="s">
        <v>51</v>
      </c>
      <c r="I135" s="38" t="s">
        <v>51</v>
      </c>
      <c r="J135" s="39"/>
      <c r="K135" s="89" t="s">
        <v>51</v>
      </c>
      <c r="L135" s="39"/>
      <c r="M135" s="38" t="s">
        <v>51</v>
      </c>
      <c r="N135" s="38" t="s">
        <v>51</v>
      </c>
      <c r="O135" s="38" t="s">
        <v>51</v>
      </c>
      <c r="P135" s="38" t="s">
        <v>51</v>
      </c>
      <c r="R135" t="str">
        <f t="shared" si="2"/>
        <v xml:space="preserve"> </v>
      </c>
    </row>
    <row r="136" spans="1:18" ht="20.100000000000001" customHeight="1" x14ac:dyDescent="0.3">
      <c r="A136" s="38" t="s">
        <v>51</v>
      </c>
      <c r="B136" s="38" t="s">
        <v>51</v>
      </c>
      <c r="C136" s="38" t="s">
        <v>51</v>
      </c>
      <c r="D136" s="39"/>
      <c r="E136" s="38" t="s">
        <v>51</v>
      </c>
      <c r="F136" s="38" t="s">
        <v>51</v>
      </c>
      <c r="G136" s="38" t="s">
        <v>51</v>
      </c>
      <c r="H136" s="38" t="s">
        <v>51</v>
      </c>
      <c r="I136" s="38" t="s">
        <v>51</v>
      </c>
      <c r="J136" s="39"/>
      <c r="K136" s="89" t="s">
        <v>51</v>
      </c>
      <c r="L136" s="39"/>
      <c r="M136" s="38" t="s">
        <v>51</v>
      </c>
      <c r="N136" s="38" t="s">
        <v>51</v>
      </c>
      <c r="O136" s="38" t="s">
        <v>51</v>
      </c>
      <c r="P136" s="38" t="s">
        <v>51</v>
      </c>
      <c r="R136" t="str">
        <f t="shared" si="2"/>
        <v xml:space="preserve"> </v>
      </c>
    </row>
    <row r="137" spans="1:18" ht="20.100000000000001" customHeight="1" x14ac:dyDescent="0.3">
      <c r="A137" s="38" t="s">
        <v>1454</v>
      </c>
      <c r="B137" s="38" t="s">
        <v>1455</v>
      </c>
      <c r="C137" s="38" t="s">
        <v>1361</v>
      </c>
      <c r="D137" s="39">
        <v>1</v>
      </c>
      <c r="E137" s="38" t="s">
        <v>51</v>
      </c>
      <c r="F137" s="38" t="s">
        <v>1456</v>
      </c>
      <c r="G137" s="38" t="s">
        <v>159</v>
      </c>
      <c r="H137" s="38" t="s">
        <v>160</v>
      </c>
      <c r="I137" s="38" t="s">
        <v>122</v>
      </c>
      <c r="J137" s="39">
        <v>1</v>
      </c>
      <c r="K137" s="89" t="s">
        <v>1361</v>
      </c>
      <c r="L137" s="39">
        <v>1</v>
      </c>
      <c r="M137" s="38" t="s">
        <v>51</v>
      </c>
      <c r="N137" s="38" t="s">
        <v>1457</v>
      </c>
      <c r="O137" s="38" t="s">
        <v>1458</v>
      </c>
      <c r="P137" s="38" t="s">
        <v>1459</v>
      </c>
      <c r="R137" t="str">
        <f t="shared" si="2"/>
        <v>경비실 부수신기 재결선 지하층 2구역 철거 및 지하수신기 1구역 연동</v>
      </c>
    </row>
    <row r="138" spans="1:18" x14ac:dyDescent="0.3">
      <c r="A138" s="9" t="s">
        <v>51</v>
      </c>
      <c r="B138" s="9" t="s">
        <v>51</v>
      </c>
      <c r="C138" s="9" t="s">
        <v>51</v>
      </c>
      <c r="E138" s="9" t="s">
        <v>51</v>
      </c>
      <c r="F138" s="9" t="s">
        <v>51</v>
      </c>
      <c r="G138" s="9" t="s">
        <v>51</v>
      </c>
      <c r="H138" s="9" t="s">
        <v>51</v>
      </c>
      <c r="I138" s="9" t="s">
        <v>51</v>
      </c>
      <c r="K138" s="91" t="s">
        <v>51</v>
      </c>
      <c r="M138" s="9" t="s">
        <v>51</v>
      </c>
      <c r="N138" s="9" t="s">
        <v>51</v>
      </c>
      <c r="O138" s="9" t="s">
        <v>51</v>
      </c>
      <c r="P138" s="9" t="s">
        <v>51</v>
      </c>
      <c r="R138" t="str">
        <f t="shared" si="2"/>
        <v xml:space="preserve"> </v>
      </c>
    </row>
    <row r="139" spans="1:18" ht="20.100000000000001" customHeight="1" x14ac:dyDescent="0.3">
      <c r="A139" s="117" t="s">
        <v>1460</v>
      </c>
      <c r="B139" s="117"/>
      <c r="C139" s="117"/>
      <c r="D139" s="117"/>
      <c r="E139" s="117"/>
      <c r="F139" s="117"/>
      <c r="G139" s="117"/>
      <c r="H139" s="117"/>
      <c r="I139" s="117"/>
      <c r="J139" s="117"/>
      <c r="K139" s="117"/>
      <c r="L139" s="117"/>
      <c r="M139" s="117"/>
      <c r="N139" s="117"/>
      <c r="O139" s="117"/>
      <c r="P139" s="117"/>
      <c r="R139" t="str">
        <f t="shared" si="2"/>
        <v xml:space="preserve"> </v>
      </c>
    </row>
    <row r="140" spans="1:18" ht="30" customHeight="1" x14ac:dyDescent="0.3">
      <c r="A140" s="37" t="s">
        <v>1314</v>
      </c>
      <c r="B140" s="37" t="s">
        <v>1315</v>
      </c>
      <c r="C140" s="37" t="s">
        <v>1316</v>
      </c>
      <c r="D140" s="37" t="s">
        <v>1317</v>
      </c>
      <c r="E140" s="37" t="s">
        <v>12</v>
      </c>
      <c r="F140" s="37" t="s">
        <v>1318</v>
      </c>
      <c r="G140" s="37" t="s">
        <v>1319</v>
      </c>
      <c r="H140" s="37" t="s">
        <v>1320</v>
      </c>
      <c r="I140" s="37" t="s">
        <v>4</v>
      </c>
      <c r="J140" s="37" t="s">
        <v>1321</v>
      </c>
      <c r="K140" s="90" t="s">
        <v>1322</v>
      </c>
      <c r="L140" s="37" t="s">
        <v>1323</v>
      </c>
      <c r="M140" s="37" t="s">
        <v>12</v>
      </c>
      <c r="N140" s="37" t="s">
        <v>1324</v>
      </c>
      <c r="O140" s="37" t="s">
        <v>1325</v>
      </c>
      <c r="P140" s="37" t="s">
        <v>1326</v>
      </c>
      <c r="R140" t="str">
        <f t="shared" ref="R140:R156" si="4">CONCATENATE(G140," ",H140)</f>
        <v>품        명 규        격</v>
      </c>
    </row>
    <row r="141" spans="1:18" ht="20.100000000000001" customHeight="1" x14ac:dyDescent="0.3">
      <c r="A141" s="38" t="s">
        <v>1378</v>
      </c>
      <c r="B141" s="38" t="s">
        <v>51</v>
      </c>
      <c r="C141" s="38" t="s">
        <v>51</v>
      </c>
      <c r="D141" s="39"/>
      <c r="E141" s="38" t="s">
        <v>51</v>
      </c>
      <c r="F141" s="38" t="s">
        <v>51</v>
      </c>
      <c r="G141" s="38" t="s">
        <v>51</v>
      </c>
      <c r="H141" s="38" t="s">
        <v>51</v>
      </c>
      <c r="I141" s="38" t="s">
        <v>51</v>
      </c>
      <c r="J141" s="39"/>
      <c r="K141" s="89" t="s">
        <v>51</v>
      </c>
      <c r="L141" s="39"/>
      <c r="M141" s="38" t="s">
        <v>51</v>
      </c>
      <c r="N141" s="38" t="s">
        <v>51</v>
      </c>
      <c r="O141" s="38" t="s">
        <v>51</v>
      </c>
      <c r="P141" s="38" t="s">
        <v>51</v>
      </c>
      <c r="R141" t="str">
        <f t="shared" si="4"/>
        <v xml:space="preserve"> </v>
      </c>
    </row>
    <row r="142" spans="1:18" ht="20.100000000000001" customHeight="1" x14ac:dyDescent="0.3">
      <c r="A142" s="38" t="s">
        <v>51</v>
      </c>
      <c r="B142" s="38" t="s">
        <v>51</v>
      </c>
      <c r="C142" s="38" t="s">
        <v>51</v>
      </c>
      <c r="D142" s="39"/>
      <c r="E142" s="38" t="s">
        <v>51</v>
      </c>
      <c r="F142" s="38" t="s">
        <v>51</v>
      </c>
      <c r="G142" s="38" t="s">
        <v>51</v>
      </c>
      <c r="H142" s="38" t="s">
        <v>51</v>
      </c>
      <c r="I142" s="38" t="s">
        <v>51</v>
      </c>
      <c r="J142" s="39"/>
      <c r="K142" s="89" t="s">
        <v>51</v>
      </c>
      <c r="L142" s="39"/>
      <c r="M142" s="38" t="s">
        <v>51</v>
      </c>
      <c r="N142" s="38" t="s">
        <v>51</v>
      </c>
      <c r="O142" s="38" t="s">
        <v>51</v>
      </c>
      <c r="P142" s="38" t="s">
        <v>51</v>
      </c>
      <c r="R142" t="str">
        <f t="shared" si="4"/>
        <v xml:space="preserve"> </v>
      </c>
    </row>
    <row r="143" spans="1:18" ht="20.100000000000001" customHeight="1" x14ac:dyDescent="0.3">
      <c r="A143" s="38" t="s">
        <v>51</v>
      </c>
      <c r="B143" s="38" t="s">
        <v>1455</v>
      </c>
      <c r="C143" s="38" t="s">
        <v>1361</v>
      </c>
      <c r="D143" s="39">
        <v>1</v>
      </c>
      <c r="E143" s="38" t="s">
        <v>51</v>
      </c>
      <c r="F143" s="38" t="s">
        <v>1461</v>
      </c>
      <c r="G143" s="38" t="s">
        <v>164</v>
      </c>
      <c r="H143" s="38" t="s">
        <v>160</v>
      </c>
      <c r="I143" s="38" t="s">
        <v>122</v>
      </c>
      <c r="J143" s="39">
        <v>1</v>
      </c>
      <c r="K143" s="89" t="s">
        <v>1361</v>
      </c>
      <c r="L143" s="39">
        <v>1</v>
      </c>
      <c r="M143" s="38" t="s">
        <v>51</v>
      </c>
      <c r="N143" s="38" t="s">
        <v>1462</v>
      </c>
      <c r="O143" s="38" t="s">
        <v>1458</v>
      </c>
      <c r="P143" s="38" t="s">
        <v>1463</v>
      </c>
      <c r="R143" t="str">
        <f t="shared" si="4"/>
        <v>통제실 메인수신기 재결선 지하층 2구역 철거 및 지하수신기 1구역 연동</v>
      </c>
    </row>
    <row r="144" spans="1:18" ht="20.100000000000001" customHeight="1" x14ac:dyDescent="0.3">
      <c r="A144" s="38" t="s">
        <v>51</v>
      </c>
      <c r="B144" s="38" t="s">
        <v>51</v>
      </c>
      <c r="C144" s="38" t="s">
        <v>51</v>
      </c>
      <c r="D144" s="39"/>
      <c r="E144" s="38" t="s">
        <v>51</v>
      </c>
      <c r="F144" s="38" t="s">
        <v>51</v>
      </c>
      <c r="G144" s="38" t="s">
        <v>51</v>
      </c>
      <c r="H144" s="38" t="s">
        <v>51</v>
      </c>
      <c r="I144" s="38" t="s">
        <v>51</v>
      </c>
      <c r="J144" s="39"/>
      <c r="K144" s="89" t="s">
        <v>51</v>
      </c>
      <c r="L144" s="39"/>
      <c r="M144" s="38" t="s">
        <v>51</v>
      </c>
      <c r="N144" s="38" t="s">
        <v>51</v>
      </c>
      <c r="O144" s="38" t="s">
        <v>51</v>
      </c>
      <c r="P144" s="38" t="s">
        <v>51</v>
      </c>
      <c r="R144" t="str">
        <f t="shared" si="4"/>
        <v xml:space="preserve"> </v>
      </c>
    </row>
    <row r="145" spans="1:18" ht="20.100000000000001" customHeight="1" x14ac:dyDescent="0.3">
      <c r="A145" s="38" t="s">
        <v>51</v>
      </c>
      <c r="B145" s="38" t="s">
        <v>51</v>
      </c>
      <c r="C145" s="38" t="s">
        <v>51</v>
      </c>
      <c r="D145" s="39"/>
      <c r="E145" s="38" t="s">
        <v>51</v>
      </c>
      <c r="F145" s="38" t="s">
        <v>51</v>
      </c>
      <c r="G145" s="38" t="s">
        <v>51</v>
      </c>
      <c r="H145" s="38" t="s">
        <v>51</v>
      </c>
      <c r="I145" s="38" t="s">
        <v>51</v>
      </c>
      <c r="J145" s="39"/>
      <c r="K145" s="89" t="s">
        <v>51</v>
      </c>
      <c r="L145" s="39"/>
      <c r="M145" s="38" t="s">
        <v>51</v>
      </c>
      <c r="N145" s="38" t="s">
        <v>51</v>
      </c>
      <c r="O145" s="38" t="s">
        <v>51</v>
      </c>
      <c r="P145" s="38" t="s">
        <v>51</v>
      </c>
      <c r="R145" t="str">
        <f t="shared" si="4"/>
        <v xml:space="preserve"> </v>
      </c>
    </row>
    <row r="146" spans="1:18" ht="20.100000000000001" customHeight="1" x14ac:dyDescent="0.3">
      <c r="A146" s="38" t="s">
        <v>1327</v>
      </c>
      <c r="B146" s="38" t="s">
        <v>51</v>
      </c>
      <c r="C146" s="38" t="s">
        <v>51</v>
      </c>
      <c r="D146" s="39"/>
      <c r="E146" s="38" t="s">
        <v>51</v>
      </c>
      <c r="F146" s="38" t="s">
        <v>51</v>
      </c>
      <c r="G146" s="38" t="s">
        <v>51</v>
      </c>
      <c r="H146" s="38" t="s">
        <v>51</v>
      </c>
      <c r="I146" s="38" t="s">
        <v>51</v>
      </c>
      <c r="J146" s="39"/>
      <c r="K146" s="89" t="s">
        <v>51</v>
      </c>
      <c r="L146" s="39"/>
      <c r="M146" s="38" t="s">
        <v>51</v>
      </c>
      <c r="N146" s="38" t="s">
        <v>51</v>
      </c>
      <c r="O146" s="38" t="s">
        <v>51</v>
      </c>
      <c r="P146" s="38" t="s">
        <v>51</v>
      </c>
      <c r="R146" t="str">
        <f t="shared" si="4"/>
        <v xml:space="preserve"> </v>
      </c>
    </row>
    <row r="147" spans="1:18" ht="20.100000000000001" customHeight="1" x14ac:dyDescent="0.3">
      <c r="A147" s="38" t="s">
        <v>51</v>
      </c>
      <c r="B147" s="38" t="s">
        <v>51</v>
      </c>
      <c r="C147" s="38" t="s">
        <v>51</v>
      </c>
      <c r="D147" s="39"/>
      <c r="E147" s="38" t="s">
        <v>51</v>
      </c>
      <c r="F147" s="38" t="s">
        <v>51</v>
      </c>
      <c r="G147" s="38" t="s">
        <v>51</v>
      </c>
      <c r="H147" s="38" t="s">
        <v>51</v>
      </c>
      <c r="I147" s="38" t="s">
        <v>51</v>
      </c>
      <c r="J147" s="39"/>
      <c r="K147" s="89" t="s">
        <v>51</v>
      </c>
      <c r="L147" s="39"/>
      <c r="M147" s="38" t="s">
        <v>51</v>
      </c>
      <c r="N147" s="38" t="s">
        <v>51</v>
      </c>
      <c r="O147" s="38" t="s">
        <v>51</v>
      </c>
      <c r="P147" s="38" t="s">
        <v>51</v>
      </c>
      <c r="R147" t="str">
        <f t="shared" si="4"/>
        <v xml:space="preserve"> </v>
      </c>
    </row>
    <row r="148" spans="1:18" ht="20.100000000000001" customHeight="1" x14ac:dyDescent="0.3">
      <c r="A148" s="38" t="s">
        <v>1464</v>
      </c>
      <c r="B148" s="38" t="s">
        <v>111</v>
      </c>
      <c r="C148" s="38" t="s">
        <v>1465</v>
      </c>
      <c r="D148" s="39">
        <v>9.7200000000000006</v>
      </c>
      <c r="E148" s="38" t="s">
        <v>51</v>
      </c>
      <c r="F148" s="38" t="s">
        <v>1466</v>
      </c>
      <c r="G148" s="38" t="s">
        <v>111</v>
      </c>
      <c r="H148" s="38" t="s">
        <v>51</v>
      </c>
      <c r="I148" s="38" t="s">
        <v>112</v>
      </c>
      <c r="J148" s="39">
        <v>1</v>
      </c>
      <c r="K148" s="89" t="s">
        <v>1465</v>
      </c>
      <c r="L148" s="39">
        <v>9.7200000000000006</v>
      </c>
      <c r="M148" s="38" t="s">
        <v>51</v>
      </c>
      <c r="N148" s="38" t="s">
        <v>1462</v>
      </c>
      <c r="O148" s="38" t="s">
        <v>1458</v>
      </c>
      <c r="P148" s="38" t="s">
        <v>1463</v>
      </c>
      <c r="R148" t="str">
        <f t="shared" si="4"/>
        <v xml:space="preserve">텍스 철거후 재설치 </v>
      </c>
    </row>
    <row r="149" spans="1:18" ht="20.100000000000001" customHeight="1" x14ac:dyDescent="0.3">
      <c r="A149" s="38" t="s">
        <v>1328</v>
      </c>
      <c r="B149" s="38" t="s">
        <v>1329</v>
      </c>
      <c r="C149" s="38" t="s">
        <v>1467</v>
      </c>
      <c r="D149" s="39">
        <v>33</v>
      </c>
      <c r="E149" s="38" t="s">
        <v>51</v>
      </c>
      <c r="F149" s="38" t="s">
        <v>1331</v>
      </c>
      <c r="G149" s="38" t="s">
        <v>55</v>
      </c>
      <c r="H149" s="38" t="s">
        <v>63</v>
      </c>
      <c r="I149" s="38" t="s">
        <v>57</v>
      </c>
      <c r="J149" s="39">
        <v>5</v>
      </c>
      <c r="K149" s="89" t="s">
        <v>1468</v>
      </c>
      <c r="L149" s="39">
        <v>165</v>
      </c>
      <c r="M149" s="38" t="s">
        <v>51</v>
      </c>
      <c r="N149" s="38" t="s">
        <v>1462</v>
      </c>
      <c r="O149" s="38" t="s">
        <v>1458</v>
      </c>
      <c r="P149" s="38" t="s">
        <v>1463</v>
      </c>
      <c r="R149" t="str">
        <f t="shared" si="4"/>
        <v>450/75OV 저독성난연가교폴리올레핀절연전선(HFIX) 1.78㎜</v>
      </c>
    </row>
    <row r="150" spans="1:18" ht="20.100000000000001" customHeight="1" x14ac:dyDescent="0.3">
      <c r="A150" s="38" t="s">
        <v>51</v>
      </c>
      <c r="B150" s="38" t="s">
        <v>51</v>
      </c>
      <c r="C150" s="38" t="s">
        <v>51</v>
      </c>
      <c r="D150" s="39"/>
      <c r="E150" s="38" t="s">
        <v>51</v>
      </c>
      <c r="F150" s="38" t="s">
        <v>1336</v>
      </c>
      <c r="G150" s="38" t="s">
        <v>1863</v>
      </c>
      <c r="H150" s="38" t="s">
        <v>1860</v>
      </c>
      <c r="I150" s="38" t="s">
        <v>93</v>
      </c>
      <c r="J150" s="39">
        <v>1</v>
      </c>
      <c r="K150" s="89" t="s">
        <v>1469</v>
      </c>
      <c r="L150" s="39">
        <v>22</v>
      </c>
      <c r="M150" s="38" t="s">
        <v>51</v>
      </c>
      <c r="N150" s="38" t="s">
        <v>1462</v>
      </c>
      <c r="O150" s="38" t="s">
        <v>1458</v>
      </c>
      <c r="P150" s="38" t="s">
        <v>1463</v>
      </c>
      <c r="R150" t="str">
        <f t="shared" si="4"/>
        <v>케이블클램프 케이블클램프, 접지크램프, 22C</v>
      </c>
    </row>
    <row r="151" spans="1:18" ht="20.100000000000001" customHeight="1" x14ac:dyDescent="0.3">
      <c r="A151" s="38" t="s">
        <v>51</v>
      </c>
      <c r="B151" s="38" t="s">
        <v>51</v>
      </c>
      <c r="C151" s="38" t="s">
        <v>51</v>
      </c>
      <c r="D151" s="39"/>
      <c r="E151" s="38" t="s">
        <v>51</v>
      </c>
      <c r="F151" s="38" t="s">
        <v>1338</v>
      </c>
      <c r="G151" s="38" t="s">
        <v>72</v>
      </c>
      <c r="H151" s="38" t="s">
        <v>78</v>
      </c>
      <c r="I151" s="38" t="s">
        <v>74</v>
      </c>
      <c r="J151" s="39">
        <v>1</v>
      </c>
      <c r="K151" s="89" t="s">
        <v>1468</v>
      </c>
      <c r="L151" s="39">
        <v>33</v>
      </c>
      <c r="M151" s="38" t="s">
        <v>51</v>
      </c>
      <c r="N151" s="38" t="s">
        <v>1462</v>
      </c>
      <c r="O151" s="38" t="s">
        <v>1458</v>
      </c>
      <c r="P151" s="38" t="s">
        <v>1463</v>
      </c>
      <c r="R151" t="str">
        <f t="shared" si="4"/>
        <v>강제 전선관 아연도  22 mm</v>
      </c>
    </row>
    <row r="152" spans="1:18" ht="20.100000000000001" customHeight="1" x14ac:dyDescent="0.3">
      <c r="A152" s="38" t="s">
        <v>1339</v>
      </c>
      <c r="B152" s="38" t="s">
        <v>1329</v>
      </c>
      <c r="C152" s="38" t="s">
        <v>1467</v>
      </c>
      <c r="D152" s="39">
        <v>33</v>
      </c>
      <c r="E152" s="38" t="s">
        <v>51</v>
      </c>
      <c r="F152" s="38" t="s">
        <v>1331</v>
      </c>
      <c r="G152" s="38" t="s">
        <v>55</v>
      </c>
      <c r="H152" s="38" t="s">
        <v>63</v>
      </c>
      <c r="I152" s="38" t="s">
        <v>57</v>
      </c>
      <c r="J152" s="39">
        <v>5</v>
      </c>
      <c r="K152" s="89" t="s">
        <v>1468</v>
      </c>
      <c r="L152" s="39">
        <v>165</v>
      </c>
      <c r="M152" s="38" t="s">
        <v>51</v>
      </c>
      <c r="N152" s="38" t="s">
        <v>1462</v>
      </c>
      <c r="O152" s="38" t="s">
        <v>1458</v>
      </c>
      <c r="P152" s="38" t="s">
        <v>1463</v>
      </c>
      <c r="R152" t="str">
        <f t="shared" si="4"/>
        <v>450/75OV 저독성난연가교폴리올레핀절연전선(HFIX) 1.78㎜</v>
      </c>
    </row>
    <row r="153" spans="1:18" ht="20.100000000000001" customHeight="1" x14ac:dyDescent="0.3">
      <c r="A153" s="38" t="s">
        <v>51</v>
      </c>
      <c r="B153" s="38" t="s">
        <v>51</v>
      </c>
      <c r="C153" s="38" t="s">
        <v>51</v>
      </c>
      <c r="D153" s="39"/>
      <c r="E153" s="38" t="s">
        <v>51</v>
      </c>
      <c r="F153" s="38" t="s">
        <v>1336</v>
      </c>
      <c r="G153" s="38" t="s">
        <v>1863</v>
      </c>
      <c r="H153" s="38" t="s">
        <v>1860</v>
      </c>
      <c r="I153" s="38" t="s">
        <v>93</v>
      </c>
      <c r="J153" s="39">
        <v>1</v>
      </c>
      <c r="K153" s="89" t="s">
        <v>1469</v>
      </c>
      <c r="L153" s="39">
        <v>22</v>
      </c>
      <c r="M153" s="38" t="s">
        <v>51</v>
      </c>
      <c r="N153" s="38" t="s">
        <v>1462</v>
      </c>
      <c r="O153" s="38" t="s">
        <v>1458</v>
      </c>
      <c r="P153" s="38" t="s">
        <v>1463</v>
      </c>
      <c r="R153" t="str">
        <f t="shared" si="4"/>
        <v>케이블클램프 케이블클램프, 접지크램프, 22C</v>
      </c>
    </row>
    <row r="154" spans="1:18" ht="20.100000000000001" customHeight="1" x14ac:dyDescent="0.3">
      <c r="A154" s="38" t="s">
        <v>51</v>
      </c>
      <c r="B154" s="38" t="s">
        <v>51</v>
      </c>
      <c r="C154" s="38" t="s">
        <v>51</v>
      </c>
      <c r="D154" s="39"/>
      <c r="E154" s="38" t="s">
        <v>51</v>
      </c>
      <c r="F154" s="38" t="s">
        <v>1338</v>
      </c>
      <c r="G154" s="38" t="s">
        <v>72</v>
      </c>
      <c r="H154" s="38" t="s">
        <v>78</v>
      </c>
      <c r="I154" s="38" t="s">
        <v>74</v>
      </c>
      <c r="J154" s="39">
        <v>1</v>
      </c>
      <c r="K154" s="89" t="s">
        <v>1468</v>
      </c>
      <c r="L154" s="39">
        <v>33</v>
      </c>
      <c r="M154" s="38" t="s">
        <v>51</v>
      </c>
      <c r="N154" s="38" t="s">
        <v>1462</v>
      </c>
      <c r="O154" s="38" t="s">
        <v>1458</v>
      </c>
      <c r="P154" s="38" t="s">
        <v>1463</v>
      </c>
      <c r="R154" t="str">
        <f t="shared" si="4"/>
        <v>강제 전선관 아연도  22 mm</v>
      </c>
    </row>
    <row r="155" spans="1:18" ht="20.100000000000001" customHeight="1" x14ac:dyDescent="0.3">
      <c r="A155" s="38" t="s">
        <v>51</v>
      </c>
      <c r="B155" s="38" t="s">
        <v>1470</v>
      </c>
      <c r="C155" s="38" t="s">
        <v>1361</v>
      </c>
      <c r="D155" s="39">
        <v>1</v>
      </c>
      <c r="E155" s="38" t="s">
        <v>51</v>
      </c>
      <c r="F155" s="38" t="s">
        <v>1471</v>
      </c>
      <c r="G155" s="38" t="s">
        <v>126</v>
      </c>
      <c r="H155" s="38" t="s">
        <v>127</v>
      </c>
      <c r="I155" s="38" t="s">
        <v>122</v>
      </c>
      <c r="J155" s="39">
        <v>1</v>
      </c>
      <c r="K155" s="89" t="s">
        <v>1361</v>
      </c>
      <c r="L155" s="39">
        <v>1</v>
      </c>
      <c r="M155" s="38" t="s">
        <v>51</v>
      </c>
      <c r="N155" s="38" t="s">
        <v>1462</v>
      </c>
      <c r="O155" s="38" t="s">
        <v>1458</v>
      </c>
      <c r="P155" s="38" t="s">
        <v>1463</v>
      </c>
      <c r="R155" t="str">
        <f t="shared" si="4"/>
        <v>전원반 자동폐쇄장치전원반, 15A</v>
      </c>
    </row>
    <row r="156" spans="1:18" ht="20.100000000000001" customHeight="1" x14ac:dyDescent="0.3">
      <c r="A156" s="38" t="s">
        <v>51</v>
      </c>
      <c r="B156" s="38" t="s">
        <v>51</v>
      </c>
      <c r="C156" s="38" t="s">
        <v>51</v>
      </c>
      <c r="D156" s="39"/>
      <c r="E156" s="38" t="s">
        <v>51</v>
      </c>
      <c r="F156" s="38" t="s">
        <v>1336</v>
      </c>
      <c r="G156" s="38" t="s">
        <v>1869</v>
      </c>
      <c r="H156" s="38" t="s">
        <v>1850</v>
      </c>
      <c r="I156" s="38" t="s">
        <v>1870</v>
      </c>
      <c r="J156" s="94">
        <v>1</v>
      </c>
      <c r="K156" s="95">
        <f>(L151+L154)/1.5*0.2*2.6</f>
        <v>22.880000000000003</v>
      </c>
      <c r="L156" s="94">
        <f>K156</f>
        <v>22.880000000000003</v>
      </c>
      <c r="M156" s="38" t="s">
        <v>51</v>
      </c>
      <c r="N156" s="38" t="s">
        <v>1333</v>
      </c>
      <c r="O156" s="38" t="s">
        <v>1334</v>
      </c>
      <c r="P156" s="38" t="s">
        <v>1335</v>
      </c>
      <c r="R156" t="str">
        <f t="shared" si="4"/>
        <v>"U"-CHANNEL 41*41*t2.6mm</v>
      </c>
    </row>
    <row r="157" spans="1:18" x14ac:dyDescent="0.3">
      <c r="A157" s="9" t="s">
        <v>51</v>
      </c>
      <c r="B157" s="9" t="s">
        <v>51</v>
      </c>
      <c r="C157" s="9" t="s">
        <v>51</v>
      </c>
      <c r="E157" s="9" t="s">
        <v>51</v>
      </c>
      <c r="F157" s="9" t="s">
        <v>51</v>
      </c>
      <c r="G157" s="9" t="s">
        <v>51</v>
      </c>
      <c r="H157" s="9" t="s">
        <v>51</v>
      </c>
      <c r="I157" s="9" t="s">
        <v>51</v>
      </c>
      <c r="K157" s="91" t="s">
        <v>51</v>
      </c>
      <c r="M157" s="9" t="s">
        <v>51</v>
      </c>
      <c r="N157" s="9" t="s">
        <v>51</v>
      </c>
      <c r="O157" s="9" t="s">
        <v>51</v>
      </c>
      <c r="P157" s="9" t="s">
        <v>51</v>
      </c>
    </row>
  </sheetData>
  <mergeCells count="6">
    <mergeCell ref="A139:P139"/>
    <mergeCell ref="A1:P1"/>
    <mergeCell ref="A2:P2"/>
    <mergeCell ref="A3:P3"/>
    <mergeCell ref="A42:P42"/>
    <mergeCell ref="A133:P133"/>
  </mergeCells>
  <phoneticPr fontId="1" type="noConversion"/>
  <pageMargins left="0.78740157480314954" right="0" top="0.39370078740157477" bottom="0.39370078740157477" header="0" footer="0"/>
  <pageSetup paperSize="9" scale="41" fitToHeight="0" orientation="landscape" verticalDpi="0" r:id="rId1"/>
  <rowBreaks count="4" manualBreakCount="4">
    <brk id="41" max="16383" man="1"/>
    <brk id="132" max="16383" man="1"/>
    <brk id="138" max="16383" man="1"/>
    <brk id="157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/>
  </sheetViews>
  <sheetFormatPr defaultRowHeight="16.5" x14ac:dyDescent="0.3"/>
  <cols>
    <col min="1" max="1" width="40.625" customWidth="1"/>
    <col min="3" max="3" width="15.625" customWidth="1"/>
    <col min="4" max="4" width="24.625" hidden="1" customWidth="1"/>
  </cols>
  <sheetData>
    <row r="1" spans="1:4" x14ac:dyDescent="0.3">
      <c r="A1" t="s">
        <v>1120</v>
      </c>
      <c r="B1" t="s">
        <v>1121</v>
      </c>
      <c r="C1" t="s">
        <v>1122</v>
      </c>
      <c r="D1" t="s">
        <v>13</v>
      </c>
    </row>
    <row r="2" spans="1:4" x14ac:dyDescent="0.3">
      <c r="A2" s="1" t="s">
        <v>53</v>
      </c>
      <c r="B2">
        <v>100</v>
      </c>
      <c r="D2" s="1" t="s">
        <v>54</v>
      </c>
    </row>
    <row r="3" spans="1:4" x14ac:dyDescent="0.3">
      <c r="A3" s="1" t="s">
        <v>222</v>
      </c>
      <c r="B3">
        <v>100</v>
      </c>
      <c r="D3" s="1" t="s">
        <v>223</v>
      </c>
    </row>
    <row r="4" spans="1:4" x14ac:dyDescent="0.3">
      <c r="A4" s="1" t="s">
        <v>531</v>
      </c>
      <c r="B4">
        <v>100</v>
      </c>
      <c r="D4" s="1" t="s">
        <v>532</v>
      </c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workbookViewId="0"/>
  </sheetViews>
  <sheetFormatPr defaultRowHeight="16.5" x14ac:dyDescent="0.3"/>
  <sheetData>
    <row r="1" spans="1:7" x14ac:dyDescent="0.3">
      <c r="A1" t="s">
        <v>1208</v>
      </c>
    </row>
    <row r="2" spans="1:7" x14ac:dyDescent="0.3">
      <c r="A2" s="1" t="s">
        <v>1209</v>
      </c>
      <c r="B2" t="s">
        <v>1210</v>
      </c>
      <c r="C2" s="1" t="s">
        <v>1211</v>
      </c>
    </row>
    <row r="3" spans="1:7" x14ac:dyDescent="0.3">
      <c r="A3" s="1" t="s">
        <v>1212</v>
      </c>
      <c r="B3" t="s">
        <v>1213</v>
      </c>
    </row>
    <row r="4" spans="1:7" x14ac:dyDescent="0.3">
      <c r="A4" s="1" t="s">
        <v>1214</v>
      </c>
      <c r="B4">
        <v>5</v>
      </c>
    </row>
    <row r="5" spans="1:7" x14ac:dyDescent="0.3">
      <c r="A5" s="1" t="s">
        <v>1215</v>
      </c>
      <c r="B5">
        <v>5</v>
      </c>
    </row>
    <row r="6" spans="1:7" x14ac:dyDescent="0.3">
      <c r="A6" s="1" t="s">
        <v>1216</v>
      </c>
      <c r="B6" t="s">
        <v>1217</v>
      </c>
    </row>
    <row r="7" spans="1:7" x14ac:dyDescent="0.3">
      <c r="A7" s="1" t="s">
        <v>1218</v>
      </c>
      <c r="B7" t="s">
        <v>999</v>
      </c>
      <c r="C7">
        <v>1</v>
      </c>
    </row>
    <row r="8" spans="1:7" x14ac:dyDescent="0.3">
      <c r="A8" s="1" t="s">
        <v>1219</v>
      </c>
      <c r="B8" t="s">
        <v>999</v>
      </c>
      <c r="C8">
        <v>2</v>
      </c>
    </row>
    <row r="9" spans="1:7" x14ac:dyDescent="0.3">
      <c r="A9" s="1" t="s">
        <v>1220</v>
      </c>
      <c r="B9" t="s">
        <v>924</v>
      </c>
      <c r="C9" t="s">
        <v>926</v>
      </c>
      <c r="D9" t="s">
        <v>927</v>
      </c>
      <c r="E9" t="s">
        <v>928</v>
      </c>
      <c r="F9" t="s">
        <v>929</v>
      </c>
      <c r="G9" t="s">
        <v>1221</v>
      </c>
    </row>
    <row r="10" spans="1:7" x14ac:dyDescent="0.3">
      <c r="A10" s="1" t="s">
        <v>1222</v>
      </c>
      <c r="B10">
        <v>1157</v>
      </c>
      <c r="C10">
        <v>0</v>
      </c>
      <c r="D10">
        <v>0</v>
      </c>
    </row>
    <row r="11" spans="1:7" x14ac:dyDescent="0.3">
      <c r="A11" s="1" t="s">
        <v>1223</v>
      </c>
      <c r="B11" t="s">
        <v>1224</v>
      </c>
      <c r="C11">
        <v>4</v>
      </c>
    </row>
    <row r="12" spans="1:7" x14ac:dyDescent="0.3">
      <c r="A12" s="1" t="s">
        <v>1225</v>
      </c>
      <c r="B12" t="s">
        <v>1224</v>
      </c>
      <c r="C12">
        <v>4</v>
      </c>
    </row>
    <row r="13" spans="1:7" x14ac:dyDescent="0.3">
      <c r="A13" s="1" t="s">
        <v>1226</v>
      </c>
      <c r="B13" t="s">
        <v>1224</v>
      </c>
      <c r="C13">
        <v>3</v>
      </c>
    </row>
    <row r="14" spans="1:7" x14ac:dyDescent="0.3">
      <c r="A14" s="1" t="s">
        <v>1227</v>
      </c>
      <c r="B14" t="s">
        <v>999</v>
      </c>
      <c r="C14">
        <v>5</v>
      </c>
    </row>
    <row r="15" spans="1:7" x14ac:dyDescent="0.3">
      <c r="A15" s="1" t="s">
        <v>1228</v>
      </c>
      <c r="B15" t="s">
        <v>602</v>
      </c>
      <c r="C15" t="s">
        <v>1229</v>
      </c>
      <c r="D15" t="s">
        <v>1229</v>
      </c>
      <c r="E15" t="s">
        <v>1229</v>
      </c>
      <c r="F15">
        <v>1</v>
      </c>
    </row>
    <row r="16" spans="1:7" x14ac:dyDescent="0.3">
      <c r="A16" s="1" t="s">
        <v>1230</v>
      </c>
      <c r="B16">
        <v>1.1100000000000001</v>
      </c>
      <c r="C16">
        <v>1.1200000000000001</v>
      </c>
    </row>
    <row r="17" spans="1:13" x14ac:dyDescent="0.3">
      <c r="A17" s="1" t="s">
        <v>1231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1232</v>
      </c>
      <c r="B18">
        <v>1.25</v>
      </c>
      <c r="C18">
        <v>1.071</v>
      </c>
    </row>
    <row r="19" spans="1:13" x14ac:dyDescent="0.3">
      <c r="A19" s="1" t="s">
        <v>1233</v>
      </c>
    </row>
    <row r="20" spans="1:13" x14ac:dyDescent="0.3">
      <c r="A20" s="1" t="s">
        <v>1234</v>
      </c>
      <c r="B20" s="1" t="s">
        <v>999</v>
      </c>
      <c r="C20">
        <v>1</v>
      </c>
    </row>
    <row r="21" spans="1:13" x14ac:dyDescent="0.3">
      <c r="A21" t="s">
        <v>1236</v>
      </c>
      <c r="B21" t="s">
        <v>1237</v>
      </c>
      <c r="C21" t="s">
        <v>1238</v>
      </c>
    </row>
    <row r="22" spans="1:13" x14ac:dyDescent="0.3">
      <c r="A22">
        <v>1</v>
      </c>
      <c r="B22" s="1" t="s">
        <v>1239</v>
      </c>
      <c r="C22" s="1" t="s">
        <v>1149</v>
      </c>
    </row>
    <row r="23" spans="1:13" x14ac:dyDescent="0.3">
      <c r="A23">
        <v>2</v>
      </c>
      <c r="B23" s="1" t="s">
        <v>1240</v>
      </c>
      <c r="C23" s="1" t="s">
        <v>1241</v>
      </c>
    </row>
    <row r="24" spans="1:13" x14ac:dyDescent="0.3">
      <c r="A24">
        <v>3</v>
      </c>
      <c r="B24" s="1" t="s">
        <v>1242</v>
      </c>
      <c r="C24" s="1" t="s">
        <v>1243</v>
      </c>
    </row>
    <row r="25" spans="1:13" x14ac:dyDescent="0.3">
      <c r="A25">
        <v>4</v>
      </c>
      <c r="B25" s="1" t="s">
        <v>1244</v>
      </c>
      <c r="C25" s="1" t="s">
        <v>1245</v>
      </c>
    </row>
    <row r="26" spans="1:13" x14ac:dyDescent="0.3">
      <c r="A26">
        <v>5</v>
      </c>
      <c r="B26" s="1" t="s">
        <v>1246</v>
      </c>
      <c r="C26" s="1" t="s">
        <v>51</v>
      </c>
    </row>
    <row r="27" spans="1:13" x14ac:dyDescent="0.3">
      <c r="A27">
        <v>6</v>
      </c>
      <c r="B27" s="1" t="s">
        <v>1247</v>
      </c>
      <c r="C27" s="1" t="s">
        <v>51</v>
      </c>
    </row>
    <row r="28" spans="1:13" x14ac:dyDescent="0.3">
      <c r="A28">
        <v>7</v>
      </c>
      <c r="B28" s="1" t="s">
        <v>1247</v>
      </c>
      <c r="C28" s="1" t="s">
        <v>51</v>
      </c>
    </row>
    <row r="29" spans="1:13" x14ac:dyDescent="0.3">
      <c r="A29">
        <v>8</v>
      </c>
      <c r="B29" s="1" t="s">
        <v>1247</v>
      </c>
      <c r="C29" s="1" t="s">
        <v>51</v>
      </c>
    </row>
    <row r="30" spans="1:13" x14ac:dyDescent="0.3">
      <c r="A30">
        <v>9</v>
      </c>
      <c r="B30" s="1" t="s">
        <v>1247</v>
      </c>
      <c r="C30" s="1" t="s">
        <v>51</v>
      </c>
    </row>
    <row r="31" spans="1:13" x14ac:dyDescent="0.3">
      <c r="A31" t="s">
        <v>602</v>
      </c>
      <c r="B31" s="1" t="s">
        <v>1248</v>
      </c>
      <c r="C31" s="1" t="s">
        <v>51</v>
      </c>
    </row>
    <row r="32" spans="1:13" x14ac:dyDescent="0.3">
      <c r="A32" t="s">
        <v>1016</v>
      </c>
      <c r="B32" s="1" t="s">
        <v>1249</v>
      </c>
      <c r="C32" s="1" t="s">
        <v>51</v>
      </c>
    </row>
    <row r="33" spans="1:3" x14ac:dyDescent="0.3">
      <c r="A33" t="s">
        <v>999</v>
      </c>
      <c r="B33" s="1" t="s">
        <v>1248</v>
      </c>
      <c r="C33" s="1" t="s">
        <v>51</v>
      </c>
    </row>
    <row r="34" spans="1:3" x14ac:dyDescent="0.3">
      <c r="A34" t="s">
        <v>1210</v>
      </c>
      <c r="B34" s="1" t="s">
        <v>1248</v>
      </c>
      <c r="C34" s="1" t="s">
        <v>51</v>
      </c>
    </row>
    <row r="35" spans="1:3" x14ac:dyDescent="0.3">
      <c r="A35" t="s">
        <v>1250</v>
      </c>
      <c r="B35" s="1" t="s">
        <v>1248</v>
      </c>
      <c r="C35" s="1" t="s">
        <v>51</v>
      </c>
    </row>
    <row r="36" spans="1:3" x14ac:dyDescent="0.3">
      <c r="A36" t="s">
        <v>61</v>
      </c>
      <c r="B36" s="1" t="s">
        <v>1248</v>
      </c>
      <c r="C36" s="1" t="s">
        <v>51</v>
      </c>
    </row>
    <row r="37" spans="1:3" x14ac:dyDescent="0.3">
      <c r="A37" t="s">
        <v>1251</v>
      </c>
      <c r="B37" s="1" t="s">
        <v>1248</v>
      </c>
      <c r="C37" s="1" t="s">
        <v>51</v>
      </c>
    </row>
    <row r="38" spans="1:3" x14ac:dyDescent="0.3">
      <c r="A38" t="s">
        <v>1252</v>
      </c>
      <c r="B38" s="1" t="s">
        <v>1248</v>
      </c>
      <c r="C38" s="1" t="s">
        <v>51</v>
      </c>
    </row>
    <row r="39" spans="1:3" x14ac:dyDescent="0.3">
      <c r="A39" t="s">
        <v>1253</v>
      </c>
      <c r="B39" s="1" t="s">
        <v>1248</v>
      </c>
      <c r="C39" s="1" t="s">
        <v>51</v>
      </c>
    </row>
    <row r="40" spans="1:3" x14ac:dyDescent="0.3">
      <c r="A40" t="s">
        <v>1254</v>
      </c>
      <c r="B40" s="1" t="s">
        <v>1248</v>
      </c>
      <c r="C40" s="1" t="s">
        <v>51</v>
      </c>
    </row>
    <row r="43" spans="1:3" x14ac:dyDescent="0.3">
      <c r="A43" t="s">
        <v>1235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91"/>
  <sheetViews>
    <sheetView view="pageBreakPreview" zoomScaleNormal="100" zoomScaleSheetLayoutView="100" workbookViewId="0">
      <selection activeCell="A3" sqref="A3:A4"/>
    </sheetView>
  </sheetViews>
  <sheetFormatPr defaultRowHeight="16.5" x14ac:dyDescent="0.3"/>
  <cols>
    <col min="1" max="1" width="25.75" customWidth="1"/>
    <col min="2" max="2" width="27.25" customWidth="1"/>
    <col min="3" max="3" width="7.25" style="79" customWidth="1"/>
    <col min="4" max="4" width="8.25" customWidth="1"/>
    <col min="5" max="5" width="62.5" customWidth="1"/>
  </cols>
  <sheetData>
    <row r="1" spans="1:5" ht="26.25" x14ac:dyDescent="0.3">
      <c r="A1" s="119" t="s">
        <v>1835</v>
      </c>
      <c r="B1" s="119"/>
      <c r="C1" s="119"/>
      <c r="D1" s="119"/>
      <c r="E1" s="119"/>
    </row>
    <row r="2" spans="1:5" s="43" customFormat="1" ht="19.149999999999999" customHeight="1" x14ac:dyDescent="0.3">
      <c r="A2" s="82" t="str">
        <f>'산출조사서(소방전기)'!A2:P2</f>
        <v>[ 사옥 이산화탄소 소화설비 교체공사 ]</v>
      </c>
      <c r="B2" s="82"/>
      <c r="C2" s="82"/>
      <c r="D2" s="82"/>
      <c r="E2" s="82"/>
    </row>
    <row r="3" spans="1:5" x14ac:dyDescent="0.3">
      <c r="A3" s="120" t="s">
        <v>2</v>
      </c>
      <c r="B3" s="120" t="s">
        <v>3</v>
      </c>
      <c r="C3" s="120" t="s">
        <v>4</v>
      </c>
      <c r="D3" s="120" t="s">
        <v>5</v>
      </c>
      <c r="E3" s="120" t="s">
        <v>12</v>
      </c>
    </row>
    <row r="4" spans="1:5" x14ac:dyDescent="0.3">
      <c r="A4" s="120"/>
      <c r="B4" s="120"/>
      <c r="C4" s="120"/>
      <c r="D4" s="120"/>
      <c r="E4" s="120"/>
    </row>
    <row r="5" spans="1:5" x14ac:dyDescent="0.3">
      <c r="A5" s="83" t="s">
        <v>1836</v>
      </c>
      <c r="B5" s="45"/>
      <c r="C5" s="45"/>
      <c r="D5" s="58"/>
      <c r="E5" s="60"/>
    </row>
    <row r="6" spans="1:5" x14ac:dyDescent="0.3">
      <c r="A6" s="45" t="s">
        <v>224</v>
      </c>
      <c r="B6" s="45" t="s">
        <v>225</v>
      </c>
      <c r="C6" s="45" t="s">
        <v>226</v>
      </c>
      <c r="D6" s="46">
        <v>1</v>
      </c>
      <c r="E6" s="50"/>
    </row>
    <row r="7" spans="1:5" x14ac:dyDescent="0.3">
      <c r="A7" s="45" t="s">
        <v>224</v>
      </c>
      <c r="B7" s="45" t="s">
        <v>230</v>
      </c>
      <c r="C7" s="45" t="s">
        <v>226</v>
      </c>
      <c r="D7" s="46">
        <v>4</v>
      </c>
      <c r="E7" s="50"/>
    </row>
    <row r="8" spans="1:5" x14ac:dyDescent="0.3">
      <c r="A8" s="45" t="s">
        <v>224</v>
      </c>
      <c r="B8" s="45" t="s">
        <v>234</v>
      </c>
      <c r="C8" s="45" t="s">
        <v>226</v>
      </c>
      <c r="D8" s="46">
        <v>1</v>
      </c>
      <c r="E8" s="59"/>
    </row>
    <row r="9" spans="1:5" x14ac:dyDescent="0.3">
      <c r="A9" s="45" t="s">
        <v>224</v>
      </c>
      <c r="B9" s="45" t="s">
        <v>238</v>
      </c>
      <c r="C9" s="45" t="s">
        <v>226</v>
      </c>
      <c r="D9" s="46">
        <v>1</v>
      </c>
      <c r="E9" s="59"/>
    </row>
    <row r="10" spans="1:5" x14ac:dyDescent="0.3">
      <c r="A10" s="45" t="s">
        <v>224</v>
      </c>
      <c r="B10" s="45" t="s">
        <v>242</v>
      </c>
      <c r="C10" s="45" t="s">
        <v>226</v>
      </c>
      <c r="D10" s="46">
        <v>2</v>
      </c>
      <c r="E10" s="59"/>
    </row>
    <row r="11" spans="1:5" x14ac:dyDescent="0.3">
      <c r="A11" s="45" t="s">
        <v>246</v>
      </c>
      <c r="B11" s="45" t="s">
        <v>151</v>
      </c>
      <c r="C11" s="45" t="s">
        <v>187</v>
      </c>
      <c r="D11" s="46">
        <v>6</v>
      </c>
      <c r="E11" s="60"/>
    </row>
    <row r="12" spans="1:5" x14ac:dyDescent="0.3">
      <c r="A12" s="45" t="s">
        <v>250</v>
      </c>
      <c r="B12" s="45" t="s">
        <v>251</v>
      </c>
      <c r="C12" s="45" t="s">
        <v>187</v>
      </c>
      <c r="D12" s="46">
        <v>9</v>
      </c>
      <c r="E12" s="60"/>
    </row>
    <row r="13" spans="1:5" x14ac:dyDescent="0.3">
      <c r="A13" s="45" t="s">
        <v>255</v>
      </c>
      <c r="B13" s="45" t="s">
        <v>256</v>
      </c>
      <c r="C13" s="45" t="s">
        <v>187</v>
      </c>
      <c r="D13" s="46">
        <v>6</v>
      </c>
      <c r="E13" s="59"/>
    </row>
    <row r="14" spans="1:5" x14ac:dyDescent="0.3">
      <c r="A14" s="45" t="s">
        <v>255</v>
      </c>
      <c r="B14" s="45" t="s">
        <v>260</v>
      </c>
      <c r="C14" s="45" t="s">
        <v>187</v>
      </c>
      <c r="D14" s="46">
        <v>3</v>
      </c>
      <c r="E14" s="59"/>
    </row>
    <row r="15" spans="1:5" x14ac:dyDescent="0.3">
      <c r="A15" s="45" t="s">
        <v>264</v>
      </c>
      <c r="B15" s="45" t="s">
        <v>265</v>
      </c>
      <c r="C15" s="45" t="s">
        <v>187</v>
      </c>
      <c r="D15" s="46">
        <v>3</v>
      </c>
      <c r="E15" s="59"/>
    </row>
    <row r="16" spans="1:5" x14ac:dyDescent="0.3">
      <c r="A16" s="45" t="s">
        <v>269</v>
      </c>
      <c r="B16" s="45" t="s">
        <v>265</v>
      </c>
      <c r="C16" s="45" t="s">
        <v>187</v>
      </c>
      <c r="D16" s="46">
        <v>3</v>
      </c>
      <c r="E16" s="59"/>
    </row>
    <row r="17" spans="1:5" x14ac:dyDescent="0.3">
      <c r="A17" s="45" t="s">
        <v>264</v>
      </c>
      <c r="B17" s="45" t="s">
        <v>273</v>
      </c>
      <c r="C17" s="45" t="s">
        <v>187</v>
      </c>
      <c r="D17" s="46">
        <v>1</v>
      </c>
      <c r="E17" s="60"/>
    </row>
    <row r="18" spans="1:5" x14ac:dyDescent="0.3">
      <c r="A18" s="45" t="s">
        <v>269</v>
      </c>
      <c r="B18" s="45" t="s">
        <v>273</v>
      </c>
      <c r="C18" s="45" t="s">
        <v>187</v>
      </c>
      <c r="D18" s="46">
        <v>2</v>
      </c>
      <c r="E18" s="60"/>
    </row>
    <row r="19" spans="1:5" x14ac:dyDescent="0.3">
      <c r="A19" s="45" t="s">
        <v>280</v>
      </c>
      <c r="B19" s="45" t="s">
        <v>281</v>
      </c>
      <c r="C19" s="45" t="s">
        <v>187</v>
      </c>
      <c r="D19" s="46">
        <v>1</v>
      </c>
      <c r="E19" s="50"/>
    </row>
    <row r="20" spans="1:5" x14ac:dyDescent="0.3">
      <c r="A20" s="45" t="s">
        <v>280</v>
      </c>
      <c r="B20" s="45" t="s">
        <v>285</v>
      </c>
      <c r="C20" s="45" t="s">
        <v>187</v>
      </c>
      <c r="D20" s="46">
        <v>1</v>
      </c>
      <c r="E20" s="59"/>
    </row>
    <row r="21" spans="1:5" x14ac:dyDescent="0.3">
      <c r="A21" s="45" t="s">
        <v>280</v>
      </c>
      <c r="B21" s="45" t="s">
        <v>289</v>
      </c>
      <c r="C21" s="45" t="s">
        <v>187</v>
      </c>
      <c r="D21" s="46">
        <v>3</v>
      </c>
      <c r="E21" s="59"/>
    </row>
    <row r="22" spans="1:5" x14ac:dyDescent="0.3">
      <c r="A22" s="45" t="s">
        <v>280</v>
      </c>
      <c r="B22" s="45" t="s">
        <v>293</v>
      </c>
      <c r="C22" s="45" t="s">
        <v>187</v>
      </c>
      <c r="D22" s="46">
        <v>1</v>
      </c>
      <c r="E22" s="59"/>
    </row>
    <row r="23" spans="1:5" x14ac:dyDescent="0.3">
      <c r="A23" s="45" t="s">
        <v>297</v>
      </c>
      <c r="B23" s="45" t="s">
        <v>298</v>
      </c>
      <c r="C23" s="45" t="s">
        <v>187</v>
      </c>
      <c r="D23" s="46">
        <v>4</v>
      </c>
      <c r="E23" s="59"/>
    </row>
    <row r="24" spans="1:5" x14ac:dyDescent="0.3">
      <c r="A24" s="45" t="s">
        <v>302</v>
      </c>
      <c r="B24" s="45" t="s">
        <v>298</v>
      </c>
      <c r="C24" s="45" t="s">
        <v>187</v>
      </c>
      <c r="D24" s="46">
        <v>1</v>
      </c>
      <c r="E24" s="59"/>
    </row>
    <row r="25" spans="1:5" x14ac:dyDescent="0.3">
      <c r="A25" s="45" t="s">
        <v>306</v>
      </c>
      <c r="B25" s="45" t="s">
        <v>298</v>
      </c>
      <c r="C25" s="45" t="s">
        <v>187</v>
      </c>
      <c r="D25" s="46">
        <v>1</v>
      </c>
      <c r="E25" s="59"/>
    </row>
    <row r="26" spans="1:5" x14ac:dyDescent="0.3">
      <c r="A26" s="45" t="s">
        <v>310</v>
      </c>
      <c r="B26" s="45" t="s">
        <v>311</v>
      </c>
      <c r="C26" s="45" t="s">
        <v>74</v>
      </c>
      <c r="D26" s="46">
        <v>18</v>
      </c>
      <c r="E26" s="59"/>
    </row>
    <row r="27" spans="1:5" x14ac:dyDescent="0.3">
      <c r="A27" s="45" t="s">
        <v>310</v>
      </c>
      <c r="B27" s="45" t="s">
        <v>315</v>
      </c>
      <c r="C27" s="45" t="s">
        <v>74</v>
      </c>
      <c r="D27" s="46">
        <v>7</v>
      </c>
      <c r="E27" s="59"/>
    </row>
    <row r="28" spans="1:5" x14ac:dyDescent="0.3">
      <c r="A28" s="45" t="s">
        <v>310</v>
      </c>
      <c r="B28" s="45" t="s">
        <v>265</v>
      </c>
      <c r="C28" s="45" t="s">
        <v>74</v>
      </c>
      <c r="D28" s="46">
        <v>31</v>
      </c>
      <c r="E28" s="59"/>
    </row>
    <row r="29" spans="1:5" x14ac:dyDescent="0.3">
      <c r="A29" s="45" t="s">
        <v>310</v>
      </c>
      <c r="B29" s="45" t="s">
        <v>273</v>
      </c>
      <c r="C29" s="45" t="s">
        <v>74</v>
      </c>
      <c r="D29" s="46">
        <v>21</v>
      </c>
      <c r="E29" s="59"/>
    </row>
    <row r="30" spans="1:5" x14ac:dyDescent="0.3">
      <c r="A30" s="45" t="s">
        <v>325</v>
      </c>
      <c r="B30" s="45" t="s">
        <v>326</v>
      </c>
      <c r="C30" s="45" t="s">
        <v>187</v>
      </c>
      <c r="D30" s="46">
        <v>5</v>
      </c>
      <c r="E30" s="59"/>
    </row>
    <row r="31" spans="1:5" x14ac:dyDescent="0.3">
      <c r="A31" s="45" t="s">
        <v>325</v>
      </c>
      <c r="B31" s="45" t="s">
        <v>330</v>
      </c>
      <c r="C31" s="45" t="s">
        <v>187</v>
      </c>
      <c r="D31" s="46">
        <v>1</v>
      </c>
      <c r="E31" s="59"/>
    </row>
    <row r="32" spans="1:5" x14ac:dyDescent="0.3">
      <c r="A32" s="45" t="s">
        <v>325</v>
      </c>
      <c r="B32" s="45" t="s">
        <v>334</v>
      </c>
      <c r="C32" s="45" t="s">
        <v>187</v>
      </c>
      <c r="D32" s="46">
        <v>2</v>
      </c>
      <c r="E32" s="59"/>
    </row>
    <row r="33" spans="1:5" x14ac:dyDescent="0.3">
      <c r="A33" s="45" t="s">
        <v>325</v>
      </c>
      <c r="B33" s="45" t="s">
        <v>338</v>
      </c>
      <c r="C33" s="45" t="s">
        <v>187</v>
      </c>
      <c r="D33" s="46">
        <v>2</v>
      </c>
      <c r="E33" s="59"/>
    </row>
    <row r="34" spans="1:5" x14ac:dyDescent="0.3">
      <c r="A34" s="45" t="s">
        <v>325</v>
      </c>
      <c r="B34" s="45" t="s">
        <v>342</v>
      </c>
      <c r="C34" s="45" t="s">
        <v>187</v>
      </c>
      <c r="D34" s="46">
        <v>1</v>
      </c>
      <c r="E34" s="59"/>
    </row>
    <row r="35" spans="1:5" x14ac:dyDescent="0.3">
      <c r="A35" s="45" t="s">
        <v>325</v>
      </c>
      <c r="B35" s="45" t="s">
        <v>346</v>
      </c>
      <c r="C35" s="45" t="s">
        <v>187</v>
      </c>
      <c r="D35" s="46">
        <v>4</v>
      </c>
      <c r="E35" s="59"/>
    </row>
    <row r="36" spans="1:5" x14ac:dyDescent="0.3">
      <c r="A36" s="45" t="s">
        <v>350</v>
      </c>
      <c r="B36" s="45" t="s">
        <v>351</v>
      </c>
      <c r="C36" s="45" t="s">
        <v>187</v>
      </c>
      <c r="D36" s="46">
        <v>15</v>
      </c>
      <c r="E36" s="59"/>
    </row>
    <row r="37" spans="1:5" x14ac:dyDescent="0.3">
      <c r="A37" s="45" t="s">
        <v>350</v>
      </c>
      <c r="B37" s="45" t="s">
        <v>355</v>
      </c>
      <c r="C37" s="45" t="s">
        <v>187</v>
      </c>
      <c r="D37" s="46">
        <v>11</v>
      </c>
      <c r="E37" s="59"/>
    </row>
    <row r="38" spans="1:5" x14ac:dyDescent="0.3">
      <c r="A38" s="45" t="s">
        <v>350</v>
      </c>
      <c r="B38" s="45" t="s">
        <v>359</v>
      </c>
      <c r="C38" s="45" t="s">
        <v>187</v>
      </c>
      <c r="D38" s="46">
        <v>4</v>
      </c>
      <c r="E38" s="59"/>
    </row>
    <row r="39" spans="1:5" x14ac:dyDescent="0.3">
      <c r="A39" s="45" t="s">
        <v>363</v>
      </c>
      <c r="B39" s="45" t="s">
        <v>364</v>
      </c>
      <c r="C39" s="45" t="s">
        <v>187</v>
      </c>
      <c r="D39" s="46">
        <v>20</v>
      </c>
      <c r="E39" s="59"/>
    </row>
    <row r="40" spans="1:5" x14ac:dyDescent="0.3">
      <c r="A40" s="45" t="s">
        <v>363</v>
      </c>
      <c r="B40" s="45" t="s">
        <v>368</v>
      </c>
      <c r="C40" s="45" t="s">
        <v>187</v>
      </c>
      <c r="D40" s="46">
        <v>6</v>
      </c>
      <c r="E40" s="59"/>
    </row>
    <row r="41" spans="1:5" x14ac:dyDescent="0.3">
      <c r="A41" s="45" t="s">
        <v>363</v>
      </c>
      <c r="B41" s="45" t="s">
        <v>372</v>
      </c>
      <c r="C41" s="45" t="s">
        <v>187</v>
      </c>
      <c r="D41" s="46">
        <v>2</v>
      </c>
      <c r="E41" s="59"/>
    </row>
    <row r="42" spans="1:5" x14ac:dyDescent="0.3">
      <c r="A42" s="45" t="s">
        <v>363</v>
      </c>
      <c r="B42" s="45" t="s">
        <v>376</v>
      </c>
      <c r="C42" s="45" t="s">
        <v>187</v>
      </c>
      <c r="D42" s="46">
        <v>2</v>
      </c>
      <c r="E42" s="59"/>
    </row>
    <row r="43" spans="1:5" x14ac:dyDescent="0.3">
      <c r="A43" s="45" t="s">
        <v>380</v>
      </c>
      <c r="B43" s="45" t="s">
        <v>311</v>
      </c>
      <c r="C43" s="45" t="s">
        <v>187</v>
      </c>
      <c r="D43" s="46">
        <v>4</v>
      </c>
      <c r="E43" s="59"/>
    </row>
    <row r="44" spans="1:5" x14ac:dyDescent="0.3">
      <c r="A44" s="45" t="s">
        <v>380</v>
      </c>
      <c r="B44" s="45" t="s">
        <v>315</v>
      </c>
      <c r="C44" s="45" t="s">
        <v>187</v>
      </c>
      <c r="D44" s="46">
        <v>2</v>
      </c>
      <c r="E44" s="59"/>
    </row>
    <row r="45" spans="1:5" x14ac:dyDescent="0.3">
      <c r="A45" s="45" t="s">
        <v>380</v>
      </c>
      <c r="B45" s="45" t="s">
        <v>265</v>
      </c>
      <c r="C45" s="45" t="s">
        <v>187</v>
      </c>
      <c r="D45" s="46">
        <v>12</v>
      </c>
      <c r="E45" s="59"/>
    </row>
    <row r="46" spans="1:5" x14ac:dyDescent="0.3">
      <c r="A46" s="45" t="s">
        <v>380</v>
      </c>
      <c r="B46" s="45" t="s">
        <v>273</v>
      </c>
      <c r="C46" s="45" t="s">
        <v>187</v>
      </c>
      <c r="D46" s="46">
        <v>4</v>
      </c>
      <c r="E46" s="59"/>
    </row>
    <row r="47" spans="1:5" x14ac:dyDescent="0.3">
      <c r="A47" s="45" t="s">
        <v>1638</v>
      </c>
      <c r="B47" s="45" t="s">
        <v>1682</v>
      </c>
      <c r="C47" s="45" t="s">
        <v>1645</v>
      </c>
      <c r="D47" s="46">
        <v>44</v>
      </c>
      <c r="E47" s="59"/>
    </row>
    <row r="48" spans="1:5" x14ac:dyDescent="0.3">
      <c r="A48" s="45" t="s">
        <v>398</v>
      </c>
      <c r="B48" s="45" t="s">
        <v>399</v>
      </c>
      <c r="C48" s="45" t="s">
        <v>187</v>
      </c>
      <c r="D48" s="46">
        <v>19</v>
      </c>
      <c r="E48" s="59"/>
    </row>
    <row r="49" spans="1:5" x14ac:dyDescent="0.3">
      <c r="A49" s="45" t="s">
        <v>403</v>
      </c>
      <c r="B49" s="45" t="s">
        <v>404</v>
      </c>
      <c r="C49" s="45" t="s">
        <v>74</v>
      </c>
      <c r="D49" s="46">
        <v>48</v>
      </c>
      <c r="E49" s="59"/>
    </row>
    <row r="50" spans="1:5" x14ac:dyDescent="0.3">
      <c r="A50" s="45" t="s">
        <v>408</v>
      </c>
      <c r="B50" s="45" t="s">
        <v>106</v>
      </c>
      <c r="C50" s="45" t="s">
        <v>409</v>
      </c>
      <c r="D50" s="84">
        <v>4.2800000000000005E-2</v>
      </c>
      <c r="E50" s="59"/>
    </row>
    <row r="51" spans="1:5" x14ac:dyDescent="0.3">
      <c r="A51" s="45" t="s">
        <v>413</v>
      </c>
      <c r="B51" s="45" t="s">
        <v>414</v>
      </c>
      <c r="C51" s="45" t="s">
        <v>187</v>
      </c>
      <c r="D51" s="46">
        <v>36</v>
      </c>
      <c r="E51" s="59"/>
    </row>
    <row r="52" spans="1:5" x14ac:dyDescent="0.3">
      <c r="A52" s="45" t="s">
        <v>418</v>
      </c>
      <c r="B52" s="45" t="s">
        <v>419</v>
      </c>
      <c r="C52" s="45" t="s">
        <v>187</v>
      </c>
      <c r="D52" s="46">
        <v>196</v>
      </c>
      <c r="E52" s="59"/>
    </row>
    <row r="53" spans="1:5" x14ac:dyDescent="0.3">
      <c r="A53" s="51" t="s">
        <v>423</v>
      </c>
      <c r="B53" s="51" t="s">
        <v>424</v>
      </c>
      <c r="C53" s="51" t="s">
        <v>93</v>
      </c>
      <c r="D53" s="52">
        <v>1</v>
      </c>
      <c r="E53" s="73"/>
    </row>
    <row r="54" spans="1:5" x14ac:dyDescent="0.3">
      <c r="A54" s="51" t="s">
        <v>423</v>
      </c>
      <c r="B54" s="51" t="s">
        <v>428</v>
      </c>
      <c r="C54" s="51" t="s">
        <v>93</v>
      </c>
      <c r="D54" s="52">
        <v>1</v>
      </c>
      <c r="E54" s="73"/>
    </row>
    <row r="55" spans="1:5" x14ac:dyDescent="0.3">
      <c r="A55" s="51" t="s">
        <v>423</v>
      </c>
      <c r="B55" s="51" t="s">
        <v>432</v>
      </c>
      <c r="C55" s="51" t="s">
        <v>93</v>
      </c>
      <c r="D55" s="52">
        <v>3</v>
      </c>
      <c r="E55" s="73"/>
    </row>
    <row r="56" spans="1:5" x14ac:dyDescent="0.3">
      <c r="A56" s="51" t="s">
        <v>423</v>
      </c>
      <c r="B56" s="51" t="s">
        <v>436</v>
      </c>
      <c r="C56" s="51" t="s">
        <v>93</v>
      </c>
      <c r="D56" s="52">
        <v>1</v>
      </c>
      <c r="E56" s="73"/>
    </row>
    <row r="57" spans="1:5" x14ac:dyDescent="0.3">
      <c r="A57" s="51" t="s">
        <v>440</v>
      </c>
      <c r="B57" s="51" t="s">
        <v>441</v>
      </c>
      <c r="C57" s="51" t="s">
        <v>442</v>
      </c>
      <c r="D57" s="52">
        <v>12</v>
      </c>
      <c r="E57" s="73"/>
    </row>
    <row r="58" spans="1:5" x14ac:dyDescent="0.3">
      <c r="A58" s="45" t="s">
        <v>446</v>
      </c>
      <c r="B58" s="45" t="s">
        <v>447</v>
      </c>
      <c r="C58" s="45" t="s">
        <v>448</v>
      </c>
      <c r="D58" s="46">
        <v>26620</v>
      </c>
      <c r="E58" s="59"/>
    </row>
    <row r="59" spans="1:5" x14ac:dyDescent="0.3">
      <c r="A59" s="45" t="s">
        <v>452</v>
      </c>
      <c r="B59" s="45" t="s">
        <v>453</v>
      </c>
      <c r="C59" s="45" t="s">
        <v>132</v>
      </c>
      <c r="D59" s="46">
        <v>7</v>
      </c>
      <c r="E59" s="59"/>
    </row>
    <row r="60" spans="1:5" x14ac:dyDescent="0.3">
      <c r="A60" s="45" t="s">
        <v>457</v>
      </c>
      <c r="B60" s="45" t="s">
        <v>251</v>
      </c>
      <c r="C60" s="45" t="s">
        <v>57</v>
      </c>
      <c r="D60" s="46">
        <v>71</v>
      </c>
      <c r="E60" s="59"/>
    </row>
    <row r="61" spans="1:5" x14ac:dyDescent="0.3">
      <c r="A61" s="45" t="s">
        <v>461</v>
      </c>
      <c r="B61" s="45" t="s">
        <v>251</v>
      </c>
      <c r="C61" s="45" t="s">
        <v>187</v>
      </c>
      <c r="D61" s="46">
        <v>4</v>
      </c>
      <c r="E61" s="59"/>
    </row>
    <row r="62" spans="1:5" x14ac:dyDescent="0.3">
      <c r="A62" s="45" t="s">
        <v>465</v>
      </c>
      <c r="B62" s="45" t="s">
        <v>251</v>
      </c>
      <c r="C62" s="45" t="s">
        <v>187</v>
      </c>
      <c r="D62" s="46">
        <v>6</v>
      </c>
      <c r="E62" s="59"/>
    </row>
    <row r="63" spans="1:5" x14ac:dyDescent="0.3">
      <c r="A63" s="45" t="s">
        <v>469</v>
      </c>
      <c r="B63" s="45" t="s">
        <v>251</v>
      </c>
      <c r="C63" s="45" t="s">
        <v>187</v>
      </c>
      <c r="D63" s="46">
        <v>6</v>
      </c>
      <c r="E63" s="59"/>
    </row>
    <row r="64" spans="1:5" x14ac:dyDescent="0.3">
      <c r="A64" s="45" t="s">
        <v>473</v>
      </c>
      <c r="B64" s="45" t="s">
        <v>474</v>
      </c>
      <c r="C64" s="45" t="s">
        <v>187</v>
      </c>
      <c r="D64" s="46">
        <v>4</v>
      </c>
      <c r="E64" s="59"/>
    </row>
    <row r="65" spans="1:5" x14ac:dyDescent="0.3">
      <c r="A65" s="45" t="s">
        <v>478</v>
      </c>
      <c r="B65" s="45" t="s">
        <v>479</v>
      </c>
      <c r="C65" s="45" t="s">
        <v>187</v>
      </c>
      <c r="D65" s="46">
        <v>4</v>
      </c>
      <c r="E65" s="59"/>
    </row>
    <row r="66" spans="1:5" x14ac:dyDescent="0.3">
      <c r="A66" s="45" t="s">
        <v>483</v>
      </c>
      <c r="B66" s="45" t="s">
        <v>484</v>
      </c>
      <c r="C66" s="45" t="s">
        <v>187</v>
      </c>
      <c r="D66" s="46">
        <v>4</v>
      </c>
      <c r="E66" s="59"/>
    </row>
    <row r="67" spans="1:5" x14ac:dyDescent="0.3">
      <c r="A67" s="45" t="s">
        <v>488</v>
      </c>
      <c r="B67" s="45" t="s">
        <v>489</v>
      </c>
      <c r="C67" s="45" t="s">
        <v>74</v>
      </c>
      <c r="D67" s="46">
        <v>16</v>
      </c>
      <c r="E67" s="59"/>
    </row>
    <row r="68" spans="1:5" x14ac:dyDescent="0.3">
      <c r="A68" s="45" t="s">
        <v>493</v>
      </c>
      <c r="B68" s="45" t="s">
        <v>489</v>
      </c>
      <c r="C68" s="45" t="s">
        <v>187</v>
      </c>
      <c r="D68" s="46">
        <v>8</v>
      </c>
      <c r="E68" s="59"/>
    </row>
    <row r="69" spans="1:5" x14ac:dyDescent="0.3">
      <c r="A69" s="45" t="s">
        <v>497</v>
      </c>
      <c r="B69" s="45" t="s">
        <v>489</v>
      </c>
      <c r="C69" s="45" t="s">
        <v>187</v>
      </c>
      <c r="D69" s="46">
        <v>4</v>
      </c>
      <c r="E69" s="59"/>
    </row>
    <row r="70" spans="1:5" x14ac:dyDescent="0.3">
      <c r="A70" s="83" t="s">
        <v>1837</v>
      </c>
      <c r="B70" s="45"/>
      <c r="C70" s="45"/>
      <c r="D70" s="58"/>
      <c r="E70" s="60"/>
    </row>
    <row r="71" spans="1:5" ht="17.45" customHeight="1" x14ac:dyDescent="0.3">
      <c r="A71" s="86" t="s">
        <v>1839</v>
      </c>
      <c r="B71" s="80" t="s">
        <v>1840</v>
      </c>
      <c r="C71" s="45" t="s">
        <v>226</v>
      </c>
      <c r="D71" s="58">
        <v>1</v>
      </c>
      <c r="E71" s="60"/>
    </row>
    <row r="72" spans="1:5" ht="17.45" customHeight="1" x14ac:dyDescent="0.3">
      <c r="A72" s="45" t="s">
        <v>418</v>
      </c>
      <c r="B72" s="45" t="s">
        <v>419</v>
      </c>
      <c r="C72" s="45" t="s">
        <v>187</v>
      </c>
      <c r="D72" s="58">
        <v>14</v>
      </c>
      <c r="E72" s="60"/>
    </row>
    <row r="73" spans="1:5" ht="17.45" customHeight="1" x14ac:dyDescent="0.3">
      <c r="A73" s="45" t="s">
        <v>457</v>
      </c>
      <c r="B73" s="45" t="s">
        <v>251</v>
      </c>
      <c r="C73" s="61" t="s">
        <v>57</v>
      </c>
      <c r="D73" s="58">
        <v>7</v>
      </c>
      <c r="E73" s="60"/>
    </row>
    <row r="74" spans="1:5" x14ac:dyDescent="0.3">
      <c r="A74" s="83" t="s">
        <v>1838</v>
      </c>
      <c r="B74" s="45"/>
      <c r="C74" s="45"/>
      <c r="D74" s="58"/>
      <c r="E74" s="60"/>
    </row>
    <row r="75" spans="1:5" ht="17.45" customHeight="1" x14ac:dyDescent="0.3">
      <c r="A75" s="45" t="s">
        <v>533</v>
      </c>
      <c r="B75" s="45" t="s">
        <v>534</v>
      </c>
      <c r="C75" s="45" t="s">
        <v>535</v>
      </c>
      <c r="D75" s="58">
        <v>37</v>
      </c>
      <c r="E75" s="60"/>
    </row>
    <row r="76" spans="1:5" ht="17.45" customHeight="1" x14ac:dyDescent="0.3">
      <c r="A76" s="45" t="s">
        <v>539</v>
      </c>
      <c r="B76" s="45" t="s">
        <v>540</v>
      </c>
      <c r="C76" s="45" t="s">
        <v>93</v>
      </c>
      <c r="D76" s="58">
        <v>2</v>
      </c>
      <c r="E76" s="60"/>
    </row>
    <row r="77" spans="1:5" ht="17.45" customHeight="1" x14ac:dyDescent="0.3">
      <c r="A77" s="45" t="s">
        <v>544</v>
      </c>
      <c r="B77" s="45">
        <v>0</v>
      </c>
      <c r="C77" s="45" t="s">
        <v>93</v>
      </c>
      <c r="D77" s="58">
        <v>5</v>
      </c>
      <c r="E77" s="60"/>
    </row>
    <row r="78" spans="1:5" ht="17.45" customHeight="1" x14ac:dyDescent="0.3">
      <c r="A78" s="45" t="s">
        <v>549</v>
      </c>
      <c r="B78" s="45" t="s">
        <v>540</v>
      </c>
      <c r="C78" s="45" t="s">
        <v>74</v>
      </c>
      <c r="D78" s="58">
        <v>32</v>
      </c>
      <c r="E78" s="60"/>
    </row>
    <row r="79" spans="1:5" ht="17.45" customHeight="1" x14ac:dyDescent="0.3">
      <c r="A79" s="45" t="s">
        <v>549</v>
      </c>
      <c r="B79" s="45" t="s">
        <v>315</v>
      </c>
      <c r="C79" s="45" t="s">
        <v>74</v>
      </c>
      <c r="D79" s="58">
        <v>36</v>
      </c>
      <c r="E79" s="60"/>
    </row>
    <row r="80" spans="1:5" ht="17.45" customHeight="1" x14ac:dyDescent="0.3">
      <c r="A80" s="45" t="s">
        <v>549</v>
      </c>
      <c r="B80" s="45" t="s">
        <v>273</v>
      </c>
      <c r="C80" s="45" t="s">
        <v>74</v>
      </c>
      <c r="D80" s="58">
        <v>22</v>
      </c>
      <c r="E80" s="60"/>
    </row>
    <row r="81" spans="1:5" ht="17.45" customHeight="1" x14ac:dyDescent="0.3">
      <c r="A81" s="45" t="s">
        <v>549</v>
      </c>
      <c r="B81" s="45" t="s">
        <v>559</v>
      </c>
      <c r="C81" s="45" t="s">
        <v>74</v>
      </c>
      <c r="D81" s="58">
        <v>11</v>
      </c>
      <c r="E81" s="60"/>
    </row>
    <row r="82" spans="1:5" ht="17.45" customHeight="1" x14ac:dyDescent="0.3">
      <c r="A82" s="45" t="s">
        <v>549</v>
      </c>
      <c r="B82" s="45" t="s">
        <v>563</v>
      </c>
      <c r="C82" s="45" t="s">
        <v>74</v>
      </c>
      <c r="D82" s="58">
        <v>20</v>
      </c>
      <c r="E82" s="60"/>
    </row>
    <row r="83" spans="1:5" ht="17.45" customHeight="1" x14ac:dyDescent="0.3">
      <c r="A83" s="45" t="s">
        <v>567</v>
      </c>
      <c r="B83" s="45" t="s">
        <v>563</v>
      </c>
      <c r="C83" s="45" t="s">
        <v>187</v>
      </c>
      <c r="D83" s="58">
        <v>11</v>
      </c>
      <c r="E83" s="60"/>
    </row>
    <row r="84" spans="1:5" x14ac:dyDescent="0.3">
      <c r="A84" s="45"/>
      <c r="B84" s="45"/>
      <c r="C84" s="45"/>
      <c r="D84" s="58"/>
      <c r="E84" s="60"/>
    </row>
    <row r="85" spans="1:5" x14ac:dyDescent="0.3">
      <c r="A85" s="45"/>
      <c r="B85" s="45"/>
      <c r="C85" s="45"/>
      <c r="D85" s="58"/>
      <c r="E85" s="60"/>
    </row>
    <row r="86" spans="1:5" x14ac:dyDescent="0.3">
      <c r="A86" s="45"/>
      <c r="B86" s="45"/>
      <c r="C86" s="57"/>
      <c r="D86" s="58"/>
      <c r="E86" s="59"/>
    </row>
    <row r="87" spans="1:5" x14ac:dyDescent="0.3">
      <c r="A87" s="45"/>
      <c r="B87" s="45"/>
      <c r="C87" s="57"/>
      <c r="D87" s="58"/>
      <c r="E87" s="59"/>
    </row>
    <row r="88" spans="1:5" x14ac:dyDescent="0.3">
      <c r="A88" s="45"/>
      <c r="B88" s="45"/>
      <c r="C88" s="57"/>
      <c r="D88" s="58"/>
      <c r="E88" s="60"/>
    </row>
    <row r="89" spans="1:5" x14ac:dyDescent="0.3">
      <c r="A89" s="45"/>
      <c r="B89" s="45"/>
      <c r="C89" s="57"/>
      <c r="D89" s="58"/>
      <c r="E89" s="50"/>
    </row>
    <row r="90" spans="1:5" x14ac:dyDescent="0.3">
      <c r="A90" s="45"/>
      <c r="B90" s="45"/>
      <c r="C90" s="61"/>
      <c r="D90" s="58"/>
      <c r="E90" s="59"/>
    </row>
    <row r="91" spans="1:5" x14ac:dyDescent="0.3">
      <c r="A91" s="45"/>
      <c r="B91" s="45"/>
      <c r="C91" s="61"/>
      <c r="D91" s="58"/>
      <c r="E91" s="60"/>
    </row>
  </sheetData>
  <mergeCells count="6">
    <mergeCell ref="A1:E1"/>
    <mergeCell ref="A3:A4"/>
    <mergeCell ref="B3:B4"/>
    <mergeCell ref="C3:C4"/>
    <mergeCell ref="D3:D4"/>
    <mergeCell ref="E3:E4"/>
  </mergeCells>
  <phoneticPr fontId="1" type="noConversion"/>
  <pageMargins left="0.59055118110236227" right="0.59055118110236227" top="0.74803149606299213" bottom="0.74803149606299213" header="0.31496062992125984" footer="0.31496062992125984"/>
  <pageSetup paperSize="9" scale="94" fitToHeight="0" orientation="landscape" r:id="rId1"/>
  <headerFooter>
    <oddFooter>&amp;C&amp;P/&amp;N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96"/>
  <sheetViews>
    <sheetView view="pageBreakPreview" zoomScaleNormal="100" zoomScaleSheetLayoutView="100" workbookViewId="0">
      <selection activeCell="A3" sqref="A3:A4"/>
    </sheetView>
  </sheetViews>
  <sheetFormatPr defaultRowHeight="16.5" x14ac:dyDescent="0.3"/>
  <cols>
    <col min="1" max="4" width="25.75" customWidth="1"/>
    <col min="5" max="5" width="7.25" style="79" customWidth="1"/>
    <col min="6" max="6" width="37.25" style="79" customWidth="1"/>
    <col min="7" max="11" width="8.25" customWidth="1"/>
    <col min="12" max="12" width="9.625" customWidth="1"/>
  </cols>
  <sheetData>
    <row r="1" spans="1:12" ht="26.25" x14ac:dyDescent="0.3">
      <c r="A1" s="119" t="s">
        <v>1472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</row>
    <row r="2" spans="1:12" s="43" customFormat="1" ht="19.149999999999999" customHeight="1" x14ac:dyDescent="0.3">
      <c r="A2" s="121" t="str">
        <f>'수량산출서(소방기계)'!A2</f>
        <v>[ 사옥 이산화탄소 소화설비 교체공사 ]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</row>
    <row r="3" spans="1:12" x14ac:dyDescent="0.3">
      <c r="A3" s="120" t="s">
        <v>1473</v>
      </c>
      <c r="B3" s="120" t="s">
        <v>1474</v>
      </c>
      <c r="C3" s="120" t="s">
        <v>2</v>
      </c>
      <c r="D3" s="120" t="s">
        <v>3</v>
      </c>
      <c r="E3" s="120" t="s">
        <v>4</v>
      </c>
      <c r="F3" s="122" t="s">
        <v>1475</v>
      </c>
      <c r="G3" s="120" t="s">
        <v>5</v>
      </c>
      <c r="H3" s="120" t="s">
        <v>1476</v>
      </c>
      <c r="I3" s="120" t="s">
        <v>1477</v>
      </c>
      <c r="J3" s="120" t="s">
        <v>1478</v>
      </c>
      <c r="K3" s="120" t="s">
        <v>1479</v>
      </c>
      <c r="L3" s="120" t="s">
        <v>12</v>
      </c>
    </row>
    <row r="4" spans="1:12" x14ac:dyDescent="0.3">
      <c r="A4" s="120"/>
      <c r="B4" s="120"/>
      <c r="C4" s="120"/>
      <c r="D4" s="120"/>
      <c r="E4" s="120"/>
      <c r="F4" s="123"/>
      <c r="G4" s="120"/>
      <c r="H4" s="120"/>
      <c r="I4" s="120"/>
      <c r="J4" s="120"/>
      <c r="K4" s="120"/>
      <c r="L4" s="120"/>
    </row>
    <row r="5" spans="1:12" x14ac:dyDescent="0.3">
      <c r="A5" s="44" t="s">
        <v>1480</v>
      </c>
      <c r="B5" s="44" t="s">
        <v>1480</v>
      </c>
      <c r="C5" s="45" t="s">
        <v>1481</v>
      </c>
      <c r="D5" s="45" t="s">
        <v>1482</v>
      </c>
      <c r="E5" s="45" t="s">
        <v>1483</v>
      </c>
      <c r="F5" s="45"/>
      <c r="G5" s="46"/>
      <c r="H5" s="47">
        <f t="shared" ref="H5:H56" si="0">G5</f>
        <v>0</v>
      </c>
      <c r="I5" s="48"/>
      <c r="J5" s="49">
        <f>ROUND((H5*I5),1)</f>
        <v>0</v>
      </c>
      <c r="K5" s="49">
        <f>ROUNDUP((H5+J5),0)</f>
        <v>0</v>
      </c>
      <c r="L5" s="50"/>
    </row>
    <row r="6" spans="1:12" x14ac:dyDescent="0.3">
      <c r="A6" s="45"/>
      <c r="B6" s="45"/>
      <c r="C6" s="45" t="s">
        <v>1484</v>
      </c>
      <c r="D6" s="45" t="s">
        <v>1485</v>
      </c>
      <c r="E6" s="45" t="s">
        <v>1486</v>
      </c>
      <c r="F6" s="45" t="s">
        <v>1487</v>
      </c>
      <c r="G6" s="46">
        <f>1+1+1+1</f>
        <v>4</v>
      </c>
      <c r="H6" s="47">
        <f t="shared" si="0"/>
        <v>4</v>
      </c>
      <c r="I6" s="48"/>
      <c r="J6" s="49">
        <f>ROUND((H6*I6),1)</f>
        <v>0</v>
      </c>
      <c r="K6" s="49">
        <f t="shared" ref="K6:K50" si="1">ROUNDUP((H6+J6),0)</f>
        <v>4</v>
      </c>
      <c r="L6" s="50"/>
    </row>
    <row r="7" spans="1:12" x14ac:dyDescent="0.3">
      <c r="A7" s="45"/>
      <c r="B7" s="45"/>
      <c r="C7" s="45" t="s">
        <v>1484</v>
      </c>
      <c r="D7" s="45" t="s">
        <v>1488</v>
      </c>
      <c r="E7" s="45" t="s">
        <v>1486</v>
      </c>
      <c r="F7" s="45"/>
      <c r="G7" s="46"/>
      <c r="H7" s="47">
        <f t="shared" si="0"/>
        <v>0</v>
      </c>
      <c r="I7" s="48"/>
      <c r="J7" s="49">
        <f t="shared" ref="J7:J67" si="2">ROUND((H7*I7),1)</f>
        <v>0</v>
      </c>
      <c r="K7" s="49">
        <f t="shared" si="1"/>
        <v>0</v>
      </c>
      <c r="L7" s="50"/>
    </row>
    <row r="8" spans="1:12" x14ac:dyDescent="0.3">
      <c r="A8" s="45"/>
      <c r="B8" s="45"/>
      <c r="C8" s="45" t="s">
        <v>1484</v>
      </c>
      <c r="D8" s="45" t="s">
        <v>1489</v>
      </c>
      <c r="E8" s="45" t="s">
        <v>1486</v>
      </c>
      <c r="F8" s="45"/>
      <c r="G8" s="46"/>
      <c r="H8" s="47">
        <f t="shared" si="0"/>
        <v>0</v>
      </c>
      <c r="I8" s="48"/>
      <c r="J8" s="49">
        <f t="shared" si="2"/>
        <v>0</v>
      </c>
      <c r="K8" s="49">
        <f t="shared" si="1"/>
        <v>0</v>
      </c>
      <c r="L8" s="50"/>
    </row>
    <row r="9" spans="1:12" x14ac:dyDescent="0.3">
      <c r="A9" s="45"/>
      <c r="B9" s="45"/>
      <c r="C9" s="45" t="s">
        <v>1484</v>
      </c>
      <c r="D9" s="45" t="s">
        <v>1490</v>
      </c>
      <c r="E9" s="45" t="s">
        <v>1486</v>
      </c>
      <c r="F9" s="45"/>
      <c r="G9" s="46"/>
      <c r="H9" s="47">
        <f t="shared" si="0"/>
        <v>0</v>
      </c>
      <c r="I9" s="48"/>
      <c r="J9" s="49">
        <f t="shared" si="2"/>
        <v>0</v>
      </c>
      <c r="K9" s="49">
        <f t="shared" si="1"/>
        <v>0</v>
      </c>
      <c r="L9" s="50"/>
    </row>
    <row r="10" spans="1:12" x14ac:dyDescent="0.3">
      <c r="A10" s="45"/>
      <c r="B10" s="45"/>
      <c r="C10" s="45" t="s">
        <v>1491</v>
      </c>
      <c r="D10" s="45" t="s">
        <v>1492</v>
      </c>
      <c r="E10" s="45" t="s">
        <v>1494</v>
      </c>
      <c r="F10" s="45">
        <v>1</v>
      </c>
      <c r="G10" s="46">
        <f>1</f>
        <v>1</v>
      </c>
      <c r="H10" s="47">
        <f t="shared" si="0"/>
        <v>1</v>
      </c>
      <c r="I10" s="48"/>
      <c r="J10" s="49">
        <f t="shared" si="2"/>
        <v>0</v>
      </c>
      <c r="K10" s="49">
        <f t="shared" si="1"/>
        <v>1</v>
      </c>
      <c r="L10" s="50"/>
    </row>
    <row r="11" spans="1:12" x14ac:dyDescent="0.3">
      <c r="A11" s="45"/>
      <c r="B11" s="45"/>
      <c r="C11" s="51" t="s">
        <v>1495</v>
      </c>
      <c r="D11" s="51" t="s">
        <v>1496</v>
      </c>
      <c r="E11" s="51" t="s">
        <v>1494</v>
      </c>
      <c r="F11" s="51" t="s">
        <v>1497</v>
      </c>
      <c r="G11" s="52">
        <f>1+1+1+1+1+1+1</f>
        <v>7</v>
      </c>
      <c r="H11" s="53">
        <f t="shared" si="0"/>
        <v>7</v>
      </c>
      <c r="I11" s="54"/>
      <c r="J11" s="55">
        <f t="shared" si="2"/>
        <v>0</v>
      </c>
      <c r="K11" s="55">
        <f t="shared" si="1"/>
        <v>7</v>
      </c>
      <c r="L11" s="56" t="s">
        <v>1498</v>
      </c>
    </row>
    <row r="12" spans="1:12" x14ac:dyDescent="0.3">
      <c r="A12" s="45"/>
      <c r="B12" s="45"/>
      <c r="C12" s="45" t="s">
        <v>1499</v>
      </c>
      <c r="D12" s="45" t="s">
        <v>1500</v>
      </c>
      <c r="E12" s="45" t="s">
        <v>1494</v>
      </c>
      <c r="F12" s="45" t="s">
        <v>1487</v>
      </c>
      <c r="G12" s="46">
        <f>1+1+1+1</f>
        <v>4</v>
      </c>
      <c r="H12" s="47">
        <f t="shared" si="0"/>
        <v>4</v>
      </c>
      <c r="I12" s="48"/>
      <c r="J12" s="49">
        <f t="shared" si="2"/>
        <v>0</v>
      </c>
      <c r="K12" s="49">
        <f t="shared" si="1"/>
        <v>4</v>
      </c>
      <c r="L12" s="50"/>
    </row>
    <row r="13" spans="1:12" x14ac:dyDescent="0.3">
      <c r="A13" s="45"/>
      <c r="B13" s="45"/>
      <c r="C13" s="45" t="s">
        <v>1499</v>
      </c>
      <c r="D13" s="45" t="s">
        <v>1501</v>
      </c>
      <c r="E13" s="45" t="s">
        <v>1494</v>
      </c>
      <c r="F13" s="45"/>
      <c r="G13" s="46"/>
      <c r="H13" s="47">
        <f t="shared" si="0"/>
        <v>0</v>
      </c>
      <c r="I13" s="48"/>
      <c r="J13" s="49">
        <f t="shared" si="2"/>
        <v>0</v>
      </c>
      <c r="K13" s="49">
        <f t="shared" si="1"/>
        <v>0</v>
      </c>
      <c r="L13" s="50"/>
    </row>
    <row r="14" spans="1:12" x14ac:dyDescent="0.3">
      <c r="A14" s="45"/>
      <c r="B14" s="45"/>
      <c r="C14" s="45" t="s">
        <v>1502</v>
      </c>
      <c r="D14" s="45" t="s">
        <v>1503</v>
      </c>
      <c r="E14" s="57" t="s">
        <v>1494</v>
      </c>
      <c r="F14" s="57" t="s">
        <v>1504</v>
      </c>
      <c r="G14" s="58">
        <f>1+1</f>
        <v>2</v>
      </c>
      <c r="H14" s="47">
        <f t="shared" si="0"/>
        <v>2</v>
      </c>
      <c r="I14" s="48"/>
      <c r="J14" s="49">
        <f t="shared" si="2"/>
        <v>0</v>
      </c>
      <c r="K14" s="49">
        <f t="shared" si="1"/>
        <v>2</v>
      </c>
      <c r="L14" s="59"/>
    </row>
    <row r="15" spans="1:12" x14ac:dyDescent="0.3">
      <c r="A15" s="45"/>
      <c r="B15" s="45"/>
      <c r="C15" s="45" t="s">
        <v>1505</v>
      </c>
      <c r="D15" s="45" t="s">
        <v>1503</v>
      </c>
      <c r="E15" s="57" t="s">
        <v>1494</v>
      </c>
      <c r="F15" s="57" t="s">
        <v>1504</v>
      </c>
      <c r="G15" s="58">
        <f>1+1</f>
        <v>2</v>
      </c>
      <c r="H15" s="47">
        <f t="shared" si="0"/>
        <v>2</v>
      </c>
      <c r="I15" s="48"/>
      <c r="J15" s="49">
        <f t="shared" si="2"/>
        <v>0</v>
      </c>
      <c r="K15" s="49">
        <f t="shared" si="1"/>
        <v>2</v>
      </c>
      <c r="L15" s="59"/>
    </row>
    <row r="16" spans="1:12" x14ac:dyDescent="0.3">
      <c r="A16" s="45"/>
      <c r="B16" s="45"/>
      <c r="C16" s="45" t="s">
        <v>1502</v>
      </c>
      <c r="D16" s="45" t="s">
        <v>1506</v>
      </c>
      <c r="E16" s="57" t="s">
        <v>1494</v>
      </c>
      <c r="F16" s="57"/>
      <c r="G16" s="58"/>
      <c r="H16" s="47">
        <f t="shared" si="0"/>
        <v>0</v>
      </c>
      <c r="I16" s="48"/>
      <c r="J16" s="49">
        <f t="shared" si="2"/>
        <v>0</v>
      </c>
      <c r="K16" s="49">
        <f t="shared" si="1"/>
        <v>0</v>
      </c>
      <c r="L16" s="59"/>
    </row>
    <row r="17" spans="1:12" x14ac:dyDescent="0.3">
      <c r="A17" s="45"/>
      <c r="B17" s="45"/>
      <c r="C17" s="45" t="s">
        <v>1505</v>
      </c>
      <c r="D17" s="45" t="s">
        <v>1506</v>
      </c>
      <c r="E17" s="57" t="s">
        <v>1494</v>
      </c>
      <c r="F17" s="57"/>
      <c r="G17" s="58"/>
      <c r="H17" s="47">
        <f t="shared" si="0"/>
        <v>0</v>
      </c>
      <c r="I17" s="48"/>
      <c r="J17" s="49">
        <f t="shared" si="2"/>
        <v>0</v>
      </c>
      <c r="K17" s="49">
        <f t="shared" si="1"/>
        <v>0</v>
      </c>
      <c r="L17" s="59"/>
    </row>
    <row r="18" spans="1:12" x14ac:dyDescent="0.3">
      <c r="A18" s="45"/>
      <c r="B18" s="45"/>
      <c r="C18" s="45" t="s">
        <v>1507</v>
      </c>
      <c r="D18" s="45" t="s">
        <v>1508</v>
      </c>
      <c r="E18" s="57" t="s">
        <v>1494</v>
      </c>
      <c r="F18" s="57">
        <v>1</v>
      </c>
      <c r="G18" s="58">
        <f>1</f>
        <v>1</v>
      </c>
      <c r="H18" s="47">
        <f t="shared" si="0"/>
        <v>1</v>
      </c>
      <c r="I18" s="60"/>
      <c r="J18" s="49">
        <f t="shared" si="2"/>
        <v>0</v>
      </c>
      <c r="K18" s="49">
        <f t="shared" si="1"/>
        <v>1</v>
      </c>
      <c r="L18" s="59"/>
    </row>
    <row r="19" spans="1:12" x14ac:dyDescent="0.3">
      <c r="A19" s="45"/>
      <c r="B19" s="45"/>
      <c r="C19" s="45" t="s">
        <v>1507</v>
      </c>
      <c r="D19" s="45" t="s">
        <v>1509</v>
      </c>
      <c r="E19" s="57" t="s">
        <v>1494</v>
      </c>
      <c r="F19" s="57"/>
      <c r="G19" s="58"/>
      <c r="H19" s="47">
        <f t="shared" si="0"/>
        <v>0</v>
      </c>
      <c r="I19" s="60"/>
      <c r="J19" s="49">
        <f t="shared" si="2"/>
        <v>0</v>
      </c>
      <c r="K19" s="49">
        <f t="shared" si="1"/>
        <v>0</v>
      </c>
      <c r="L19" s="59"/>
    </row>
    <row r="20" spans="1:12" x14ac:dyDescent="0.3">
      <c r="A20" s="45"/>
      <c r="B20" s="45"/>
      <c r="C20" s="45" t="s">
        <v>1507</v>
      </c>
      <c r="D20" s="45" t="s">
        <v>1510</v>
      </c>
      <c r="E20" s="57" t="s">
        <v>1494</v>
      </c>
      <c r="F20" s="57"/>
      <c r="G20" s="58"/>
      <c r="H20" s="47">
        <f t="shared" si="0"/>
        <v>0</v>
      </c>
      <c r="I20" s="60"/>
      <c r="J20" s="49">
        <f t="shared" si="2"/>
        <v>0</v>
      </c>
      <c r="K20" s="49">
        <f t="shared" si="1"/>
        <v>0</v>
      </c>
      <c r="L20" s="59"/>
    </row>
    <row r="21" spans="1:12" x14ac:dyDescent="0.3">
      <c r="A21" s="45"/>
      <c r="B21" s="45"/>
      <c r="C21" s="45" t="s">
        <v>1511</v>
      </c>
      <c r="D21" s="45" t="s">
        <v>1512</v>
      </c>
      <c r="E21" s="57" t="s">
        <v>1513</v>
      </c>
      <c r="F21" s="57"/>
      <c r="G21" s="58"/>
      <c r="H21" s="47">
        <f t="shared" si="0"/>
        <v>0</v>
      </c>
      <c r="I21" s="60"/>
      <c r="J21" s="49">
        <f t="shared" si="2"/>
        <v>0</v>
      </c>
      <c r="K21" s="49">
        <f t="shared" si="1"/>
        <v>0</v>
      </c>
      <c r="L21" s="59"/>
    </row>
    <row r="22" spans="1:12" x14ac:dyDescent="0.3">
      <c r="A22" s="45"/>
      <c r="B22" s="45"/>
      <c r="C22" s="45" t="s">
        <v>1514</v>
      </c>
      <c r="D22" s="45" t="s">
        <v>1515</v>
      </c>
      <c r="E22" s="61" t="s">
        <v>1494</v>
      </c>
      <c r="F22" s="61" t="s">
        <v>1516</v>
      </c>
      <c r="G22" s="58">
        <f>1</f>
        <v>1</v>
      </c>
      <c r="H22" s="47">
        <f t="shared" si="0"/>
        <v>1</v>
      </c>
      <c r="I22" s="62"/>
      <c r="J22" s="49">
        <f t="shared" si="2"/>
        <v>0</v>
      </c>
      <c r="K22" s="49">
        <f t="shared" si="1"/>
        <v>1</v>
      </c>
      <c r="L22" s="60"/>
    </row>
    <row r="23" spans="1:12" x14ac:dyDescent="0.3">
      <c r="A23" s="45"/>
      <c r="B23" s="45"/>
      <c r="C23" s="45" t="s">
        <v>1517</v>
      </c>
      <c r="D23" s="45" t="s">
        <v>1515</v>
      </c>
      <c r="E23" s="61" t="s">
        <v>1494</v>
      </c>
      <c r="F23" s="61" t="s">
        <v>1518</v>
      </c>
      <c r="G23" s="58">
        <f>1</f>
        <v>1</v>
      </c>
      <c r="H23" s="47">
        <f t="shared" si="0"/>
        <v>1</v>
      </c>
      <c r="I23" s="62"/>
      <c r="J23" s="49">
        <f t="shared" si="2"/>
        <v>0</v>
      </c>
      <c r="K23" s="49">
        <f t="shared" si="1"/>
        <v>1</v>
      </c>
      <c r="L23" s="60"/>
    </row>
    <row r="24" spans="1:12" x14ac:dyDescent="0.3">
      <c r="A24" s="45"/>
      <c r="B24" s="45"/>
      <c r="C24" s="45" t="s">
        <v>1519</v>
      </c>
      <c r="D24" s="45" t="s">
        <v>1515</v>
      </c>
      <c r="E24" s="61" t="s">
        <v>1513</v>
      </c>
      <c r="F24" s="61" t="s">
        <v>1520</v>
      </c>
      <c r="G24" s="58">
        <f>1</f>
        <v>1</v>
      </c>
      <c r="H24" s="47">
        <f t="shared" si="0"/>
        <v>1</v>
      </c>
      <c r="I24" s="62"/>
      <c r="J24" s="49">
        <f t="shared" si="2"/>
        <v>0</v>
      </c>
      <c r="K24" s="49">
        <f>ROUNDUP((H24+J24),0)</f>
        <v>1</v>
      </c>
      <c r="L24" s="60"/>
    </row>
    <row r="25" spans="1:12" x14ac:dyDescent="0.3">
      <c r="A25" s="45"/>
      <c r="B25" s="45"/>
      <c r="C25" s="45" t="s">
        <v>1521</v>
      </c>
      <c r="D25" s="45" t="s">
        <v>1522</v>
      </c>
      <c r="E25" s="61" t="s">
        <v>74</v>
      </c>
      <c r="F25" s="61" t="s">
        <v>1523</v>
      </c>
      <c r="G25" s="58">
        <f>2.58+0.3+1.45+3.3+3.2+5.4</f>
        <v>16.23</v>
      </c>
      <c r="H25" s="47">
        <f t="shared" si="0"/>
        <v>16.23</v>
      </c>
      <c r="I25" s="62">
        <v>0.1</v>
      </c>
      <c r="J25" s="49">
        <f t="shared" si="2"/>
        <v>1.6</v>
      </c>
      <c r="K25" s="49">
        <f t="shared" si="1"/>
        <v>18</v>
      </c>
      <c r="L25" s="60"/>
    </row>
    <row r="26" spans="1:12" x14ac:dyDescent="0.3">
      <c r="A26" s="45"/>
      <c r="B26" s="45"/>
      <c r="C26" s="45" t="s">
        <v>1524</v>
      </c>
      <c r="D26" s="45" t="s">
        <v>315</v>
      </c>
      <c r="E26" s="57" t="s">
        <v>74</v>
      </c>
      <c r="F26" s="57" t="s">
        <v>1525</v>
      </c>
      <c r="G26" s="58">
        <f>3+3</f>
        <v>6</v>
      </c>
      <c r="H26" s="47">
        <f t="shared" si="0"/>
        <v>6</v>
      </c>
      <c r="I26" s="62">
        <v>0.1</v>
      </c>
      <c r="J26" s="49">
        <f t="shared" si="2"/>
        <v>0.6</v>
      </c>
      <c r="K26" s="49">
        <f t="shared" si="1"/>
        <v>7</v>
      </c>
      <c r="L26" s="59"/>
    </row>
    <row r="27" spans="1:12" x14ac:dyDescent="0.3">
      <c r="A27" s="45"/>
      <c r="B27" s="45"/>
      <c r="C27" s="45" t="s">
        <v>1524</v>
      </c>
      <c r="D27" s="45" t="s">
        <v>265</v>
      </c>
      <c r="E27" s="57" t="s">
        <v>74</v>
      </c>
      <c r="F27" s="57" t="s">
        <v>1526</v>
      </c>
      <c r="G27" s="58">
        <f>(0.15+0.5+0.6+2.3+2.8+0.2)*2</f>
        <v>13.1</v>
      </c>
      <c r="H27" s="47">
        <f t="shared" si="0"/>
        <v>13.1</v>
      </c>
      <c r="I27" s="62">
        <v>0.1</v>
      </c>
      <c r="J27" s="49">
        <f t="shared" si="2"/>
        <v>1.3</v>
      </c>
      <c r="K27" s="49">
        <f t="shared" si="1"/>
        <v>15</v>
      </c>
      <c r="L27" s="59"/>
    </row>
    <row r="28" spans="1:12" x14ac:dyDescent="0.3">
      <c r="A28" s="45"/>
      <c r="B28" s="45"/>
      <c r="C28" s="45" t="s">
        <v>1521</v>
      </c>
      <c r="D28" s="45" t="s">
        <v>273</v>
      </c>
      <c r="E28" s="57" t="s">
        <v>74</v>
      </c>
      <c r="F28" s="57" t="s">
        <v>1527</v>
      </c>
      <c r="G28" s="58">
        <f>0.3*8</f>
        <v>2.4</v>
      </c>
      <c r="H28" s="47">
        <f t="shared" si="0"/>
        <v>2.4</v>
      </c>
      <c r="I28" s="62">
        <v>0.1</v>
      </c>
      <c r="J28" s="49">
        <f t="shared" si="2"/>
        <v>0.2</v>
      </c>
      <c r="K28" s="49">
        <f>ROUNDUP((H28+J28),0)</f>
        <v>3</v>
      </c>
      <c r="L28" s="59"/>
    </row>
    <row r="29" spans="1:12" x14ac:dyDescent="0.3">
      <c r="A29" s="45"/>
      <c r="B29" s="45"/>
      <c r="C29" s="45" t="s">
        <v>1528</v>
      </c>
      <c r="D29" s="45" t="s">
        <v>1529</v>
      </c>
      <c r="E29" s="57" t="s">
        <v>1513</v>
      </c>
      <c r="F29" s="63" t="s">
        <v>1530</v>
      </c>
      <c r="G29" s="58">
        <f>1+1+1+1+1</f>
        <v>5</v>
      </c>
      <c r="H29" s="47">
        <f t="shared" si="0"/>
        <v>5</v>
      </c>
      <c r="I29" s="60"/>
      <c r="J29" s="49">
        <f t="shared" si="2"/>
        <v>0</v>
      </c>
      <c r="K29" s="49">
        <f t="shared" si="1"/>
        <v>5</v>
      </c>
      <c r="L29" s="59"/>
    </row>
    <row r="30" spans="1:12" x14ac:dyDescent="0.3">
      <c r="A30" s="45"/>
      <c r="B30" s="45"/>
      <c r="C30" s="45" t="s">
        <v>1531</v>
      </c>
      <c r="D30" s="45" t="s">
        <v>1532</v>
      </c>
      <c r="E30" s="61" t="s">
        <v>1513</v>
      </c>
      <c r="F30" s="61">
        <v>1</v>
      </c>
      <c r="G30" s="58">
        <f>1</f>
        <v>1</v>
      </c>
      <c r="H30" s="47">
        <f t="shared" si="0"/>
        <v>1</v>
      </c>
      <c r="I30" s="60"/>
      <c r="J30" s="49">
        <f t="shared" si="2"/>
        <v>0</v>
      </c>
      <c r="K30" s="49">
        <f t="shared" si="1"/>
        <v>1</v>
      </c>
      <c r="L30" s="60"/>
    </row>
    <row r="31" spans="1:12" x14ac:dyDescent="0.3">
      <c r="A31" s="45"/>
      <c r="B31" s="45"/>
      <c r="C31" s="45" t="s">
        <v>1528</v>
      </c>
      <c r="D31" s="45" t="s">
        <v>1533</v>
      </c>
      <c r="E31" s="61" t="s">
        <v>1513</v>
      </c>
      <c r="F31" s="61" t="s">
        <v>1504</v>
      </c>
      <c r="G31" s="58">
        <f>1+1</f>
        <v>2</v>
      </c>
      <c r="H31" s="47">
        <f t="shared" si="0"/>
        <v>2</v>
      </c>
      <c r="I31" s="60"/>
      <c r="J31" s="49">
        <f t="shared" si="2"/>
        <v>0</v>
      </c>
      <c r="K31" s="49">
        <f t="shared" si="1"/>
        <v>2</v>
      </c>
      <c r="L31" s="60"/>
    </row>
    <row r="32" spans="1:12" x14ac:dyDescent="0.3">
      <c r="A32" s="45"/>
      <c r="B32" s="45"/>
      <c r="C32" s="45" t="s">
        <v>1528</v>
      </c>
      <c r="D32" s="45" t="s">
        <v>1534</v>
      </c>
      <c r="E32" s="61" t="s">
        <v>1513</v>
      </c>
      <c r="F32" s="61" t="s">
        <v>1504</v>
      </c>
      <c r="G32" s="58">
        <f>1+1</f>
        <v>2</v>
      </c>
      <c r="H32" s="47">
        <f t="shared" si="0"/>
        <v>2</v>
      </c>
      <c r="I32" s="60"/>
      <c r="J32" s="49">
        <f t="shared" si="2"/>
        <v>0</v>
      </c>
      <c r="K32" s="49">
        <f>ROUNDUP((H32+J32),0)</f>
        <v>2</v>
      </c>
      <c r="L32" s="60"/>
    </row>
    <row r="33" spans="1:12" x14ac:dyDescent="0.3">
      <c r="A33" s="45"/>
      <c r="B33" s="45"/>
      <c r="C33" s="45" t="s">
        <v>1531</v>
      </c>
      <c r="D33" s="45" t="s">
        <v>1535</v>
      </c>
      <c r="E33" s="61" t="s">
        <v>1513</v>
      </c>
      <c r="F33" s="61">
        <v>1</v>
      </c>
      <c r="G33" s="58">
        <f>1</f>
        <v>1</v>
      </c>
      <c r="H33" s="47">
        <f t="shared" si="0"/>
        <v>1</v>
      </c>
      <c r="I33" s="60"/>
      <c r="J33" s="49">
        <f>ROUND((H33*I33),1)</f>
        <v>0</v>
      </c>
      <c r="K33" s="49">
        <f t="shared" si="1"/>
        <v>1</v>
      </c>
      <c r="L33" s="60"/>
    </row>
    <row r="34" spans="1:12" x14ac:dyDescent="0.3">
      <c r="A34" s="45"/>
      <c r="B34" s="45"/>
      <c r="C34" s="45" t="s">
        <v>1531</v>
      </c>
      <c r="D34" s="45" t="s">
        <v>1536</v>
      </c>
      <c r="E34" s="61" t="s">
        <v>1513</v>
      </c>
      <c r="F34" s="61" t="s">
        <v>1537</v>
      </c>
      <c r="G34" s="58">
        <f>2+2</f>
        <v>4</v>
      </c>
      <c r="H34" s="47">
        <f t="shared" si="0"/>
        <v>4</v>
      </c>
      <c r="I34" s="60"/>
      <c r="J34" s="49">
        <f t="shared" si="2"/>
        <v>0</v>
      </c>
      <c r="K34" s="49">
        <f t="shared" si="1"/>
        <v>4</v>
      </c>
      <c r="L34" s="60"/>
    </row>
    <row r="35" spans="1:12" x14ac:dyDescent="0.3">
      <c r="A35" s="45"/>
      <c r="B35" s="45"/>
      <c r="C35" s="45" t="s">
        <v>1538</v>
      </c>
      <c r="D35" s="45" t="s">
        <v>1539</v>
      </c>
      <c r="E35" s="61" t="s">
        <v>1513</v>
      </c>
      <c r="F35" s="61" t="s">
        <v>1540</v>
      </c>
      <c r="G35" s="58">
        <f>(5*2)+(1*3)+1+1</f>
        <v>15</v>
      </c>
      <c r="H35" s="47">
        <f t="shared" si="0"/>
        <v>15</v>
      </c>
      <c r="I35" s="60"/>
      <c r="J35" s="49">
        <f t="shared" si="2"/>
        <v>0</v>
      </c>
      <c r="K35" s="49">
        <f t="shared" si="1"/>
        <v>15</v>
      </c>
      <c r="L35" s="60"/>
    </row>
    <row r="36" spans="1:12" x14ac:dyDescent="0.3">
      <c r="A36" s="45"/>
      <c r="B36" s="45"/>
      <c r="C36" s="45" t="s">
        <v>1538</v>
      </c>
      <c r="D36" s="45" t="s">
        <v>1541</v>
      </c>
      <c r="E36" s="61" t="s">
        <v>1513</v>
      </c>
      <c r="F36" s="61" t="s">
        <v>1542</v>
      </c>
      <c r="G36" s="58">
        <f>(2*3)+1+4</f>
        <v>11</v>
      </c>
      <c r="H36" s="47">
        <f t="shared" si="0"/>
        <v>11</v>
      </c>
      <c r="I36" s="60"/>
      <c r="J36" s="49">
        <f t="shared" si="2"/>
        <v>0</v>
      </c>
      <c r="K36" s="49">
        <f t="shared" si="1"/>
        <v>11</v>
      </c>
      <c r="L36" s="60"/>
    </row>
    <row r="37" spans="1:12" x14ac:dyDescent="0.3">
      <c r="A37" s="45"/>
      <c r="B37" s="45"/>
      <c r="C37" s="45" t="s">
        <v>1538</v>
      </c>
      <c r="D37" s="45" t="s">
        <v>1543</v>
      </c>
      <c r="E37" s="61" t="s">
        <v>1494</v>
      </c>
      <c r="F37" s="61" t="s">
        <v>1544</v>
      </c>
      <c r="G37" s="58">
        <f>2+2</f>
        <v>4</v>
      </c>
      <c r="H37" s="47">
        <f t="shared" si="0"/>
        <v>4</v>
      </c>
      <c r="I37" s="60"/>
      <c r="J37" s="49">
        <f t="shared" si="2"/>
        <v>0</v>
      </c>
      <c r="K37" s="49">
        <f t="shared" si="1"/>
        <v>4</v>
      </c>
      <c r="L37" s="60"/>
    </row>
    <row r="38" spans="1:12" x14ac:dyDescent="0.3">
      <c r="A38" s="45"/>
      <c r="B38" s="45"/>
      <c r="C38" s="45" t="s">
        <v>1545</v>
      </c>
      <c r="D38" s="45" t="s">
        <v>1546</v>
      </c>
      <c r="E38" s="61" t="s">
        <v>1513</v>
      </c>
      <c r="F38" s="61" t="s">
        <v>1547</v>
      </c>
      <c r="G38" s="58">
        <f>4*2</f>
        <v>8</v>
      </c>
      <c r="H38" s="47">
        <f t="shared" si="0"/>
        <v>8</v>
      </c>
      <c r="I38" s="60"/>
      <c r="J38" s="49">
        <f t="shared" si="2"/>
        <v>0</v>
      </c>
      <c r="K38" s="49">
        <f>ROUNDUP((H38+J38),0)</f>
        <v>8</v>
      </c>
      <c r="L38" s="60"/>
    </row>
    <row r="39" spans="1:12" x14ac:dyDescent="0.3">
      <c r="A39" s="45"/>
      <c r="B39" s="45"/>
      <c r="C39" s="45" t="s">
        <v>1545</v>
      </c>
      <c r="D39" s="45" t="s">
        <v>1548</v>
      </c>
      <c r="E39" s="61" t="s">
        <v>1513</v>
      </c>
      <c r="F39" s="61"/>
      <c r="G39" s="58"/>
      <c r="H39" s="47"/>
      <c r="I39" s="60"/>
      <c r="J39" s="49">
        <f t="shared" si="2"/>
        <v>0</v>
      </c>
      <c r="K39" s="49">
        <f t="shared" si="1"/>
        <v>0</v>
      </c>
      <c r="L39" s="60"/>
    </row>
    <row r="40" spans="1:12" x14ac:dyDescent="0.3">
      <c r="A40" s="45"/>
      <c r="B40" s="45"/>
      <c r="C40" s="45" t="s">
        <v>1549</v>
      </c>
      <c r="D40" s="45" t="s">
        <v>1550</v>
      </c>
      <c r="E40" s="61" t="s">
        <v>1513</v>
      </c>
      <c r="F40" s="61"/>
      <c r="G40" s="58"/>
      <c r="H40" s="47"/>
      <c r="I40" s="60"/>
      <c r="J40" s="49">
        <f t="shared" si="2"/>
        <v>0</v>
      </c>
      <c r="K40" s="49">
        <f t="shared" si="1"/>
        <v>0</v>
      </c>
      <c r="L40" s="60"/>
    </row>
    <row r="41" spans="1:12" x14ac:dyDescent="0.3">
      <c r="A41" s="45"/>
      <c r="B41" s="45"/>
      <c r="C41" s="45" t="s">
        <v>1545</v>
      </c>
      <c r="D41" s="45" t="s">
        <v>1551</v>
      </c>
      <c r="E41" s="61" t="s">
        <v>1494</v>
      </c>
      <c r="F41" s="61"/>
      <c r="G41" s="58"/>
      <c r="H41" s="47"/>
      <c r="I41" s="60"/>
      <c r="J41" s="49">
        <f t="shared" si="2"/>
        <v>0</v>
      </c>
      <c r="K41" s="49">
        <f t="shared" si="1"/>
        <v>0</v>
      </c>
      <c r="L41" s="60"/>
    </row>
    <row r="42" spans="1:12" x14ac:dyDescent="0.3">
      <c r="A42" s="45"/>
      <c r="B42" s="45"/>
      <c r="C42" s="45" t="s">
        <v>1552</v>
      </c>
      <c r="D42" s="45" t="s">
        <v>1553</v>
      </c>
      <c r="E42" s="61" t="s">
        <v>1494</v>
      </c>
      <c r="F42" s="61" t="s">
        <v>1554</v>
      </c>
      <c r="G42" s="58">
        <f>1+1+1+1</f>
        <v>4</v>
      </c>
      <c r="H42" s="47">
        <f t="shared" si="0"/>
        <v>4</v>
      </c>
      <c r="I42" s="60"/>
      <c r="J42" s="49">
        <f t="shared" si="2"/>
        <v>0</v>
      </c>
      <c r="K42" s="49">
        <f t="shared" si="1"/>
        <v>4</v>
      </c>
      <c r="L42" s="60"/>
    </row>
    <row r="43" spans="1:12" x14ac:dyDescent="0.3">
      <c r="A43" s="45"/>
      <c r="B43" s="45"/>
      <c r="C43" s="45" t="s">
        <v>1552</v>
      </c>
      <c r="D43" s="45" t="s">
        <v>1555</v>
      </c>
      <c r="E43" s="61" t="s">
        <v>1513</v>
      </c>
      <c r="F43" s="61" t="s">
        <v>1556</v>
      </c>
      <c r="G43" s="58">
        <f>1+1</f>
        <v>2</v>
      </c>
      <c r="H43" s="47">
        <f t="shared" si="0"/>
        <v>2</v>
      </c>
      <c r="I43" s="62"/>
      <c r="J43" s="49">
        <f t="shared" si="2"/>
        <v>0</v>
      </c>
      <c r="K43" s="49">
        <f t="shared" si="1"/>
        <v>2</v>
      </c>
      <c r="L43" s="60"/>
    </row>
    <row r="44" spans="1:12" x14ac:dyDescent="0.3">
      <c r="A44" s="45"/>
      <c r="B44" s="45"/>
      <c r="C44" s="45" t="s">
        <v>1552</v>
      </c>
      <c r="D44" s="45" t="s">
        <v>1557</v>
      </c>
      <c r="E44" s="57" t="s">
        <v>1494</v>
      </c>
      <c r="F44" s="57" t="s">
        <v>1525</v>
      </c>
      <c r="G44" s="58">
        <f>3+3</f>
        <v>6</v>
      </c>
      <c r="H44" s="47">
        <f t="shared" si="0"/>
        <v>6</v>
      </c>
      <c r="I44" s="64"/>
      <c r="J44" s="49">
        <f t="shared" si="2"/>
        <v>0</v>
      </c>
      <c r="K44" s="49">
        <f t="shared" si="1"/>
        <v>6</v>
      </c>
      <c r="L44" s="59"/>
    </row>
    <row r="45" spans="1:12" x14ac:dyDescent="0.3">
      <c r="A45" s="45"/>
      <c r="B45" s="45"/>
      <c r="C45" s="45" t="s">
        <v>1558</v>
      </c>
      <c r="D45" s="45" t="s">
        <v>1506</v>
      </c>
      <c r="E45" s="57" t="s">
        <v>1494</v>
      </c>
      <c r="F45" s="57"/>
      <c r="G45" s="58"/>
      <c r="H45" s="47"/>
      <c r="I45" s="64"/>
      <c r="J45" s="49">
        <f t="shared" si="2"/>
        <v>0</v>
      </c>
      <c r="K45" s="49">
        <f t="shared" si="1"/>
        <v>0</v>
      </c>
      <c r="L45" s="59"/>
    </row>
    <row r="46" spans="1:12" x14ac:dyDescent="0.3">
      <c r="A46" s="45"/>
      <c r="B46" s="45"/>
      <c r="C46" s="45" t="s">
        <v>1559</v>
      </c>
      <c r="D46" s="45" t="s">
        <v>1560</v>
      </c>
      <c r="E46" s="57" t="s">
        <v>1561</v>
      </c>
      <c r="F46" s="57" t="s">
        <v>1562</v>
      </c>
      <c r="G46" s="58">
        <f>(4+2+6)*2</f>
        <v>24</v>
      </c>
      <c r="H46" s="47">
        <f t="shared" ref="H46" si="3">G46</f>
        <v>24</v>
      </c>
      <c r="I46" s="64"/>
      <c r="J46" s="49">
        <f t="shared" si="2"/>
        <v>0</v>
      </c>
      <c r="K46" s="49">
        <f t="shared" si="1"/>
        <v>24</v>
      </c>
      <c r="L46" s="59"/>
    </row>
    <row r="47" spans="1:12" ht="17.45" customHeight="1" x14ac:dyDescent="0.3">
      <c r="A47" s="45"/>
      <c r="B47" s="45"/>
      <c r="C47" s="45" t="s">
        <v>1563</v>
      </c>
      <c r="D47" s="45" t="s">
        <v>1564</v>
      </c>
      <c r="E47" s="57" t="s">
        <v>1494</v>
      </c>
      <c r="F47" s="57" t="s">
        <v>1565</v>
      </c>
      <c r="G47" s="58">
        <f>(0.359*16.2)+(0.24*6)+(0.19*13.1)+(0.153*2.4)</f>
        <v>10.111999999999998</v>
      </c>
      <c r="H47" s="47">
        <f t="shared" si="0"/>
        <v>10.111999999999998</v>
      </c>
      <c r="I47" s="48">
        <v>0.1</v>
      </c>
      <c r="J47" s="49">
        <f t="shared" si="2"/>
        <v>1</v>
      </c>
      <c r="K47" s="49">
        <f>ROUNDUP((H47+J47),0)</f>
        <v>12</v>
      </c>
      <c r="L47" s="59"/>
    </row>
    <row r="48" spans="1:12" x14ac:dyDescent="0.3">
      <c r="A48" s="45"/>
      <c r="B48" s="45"/>
      <c r="C48" s="45" t="s">
        <v>1566</v>
      </c>
      <c r="D48" s="45" t="s">
        <v>1567</v>
      </c>
      <c r="E48" s="61" t="s">
        <v>1568</v>
      </c>
      <c r="F48" s="61" t="s">
        <v>1569</v>
      </c>
      <c r="G48" s="58">
        <f>(0.9+0.9+0.3)*12</f>
        <v>25.200000000000003</v>
      </c>
      <c r="H48" s="47">
        <f t="shared" si="0"/>
        <v>25.200000000000003</v>
      </c>
      <c r="I48" s="48">
        <v>0.1</v>
      </c>
      <c r="J48" s="49">
        <f t="shared" si="2"/>
        <v>2.5</v>
      </c>
      <c r="K48" s="49">
        <f t="shared" si="1"/>
        <v>28</v>
      </c>
      <c r="L48" s="60"/>
    </row>
    <row r="49" spans="1:12" ht="40.5" x14ac:dyDescent="0.3">
      <c r="A49" s="45"/>
      <c r="B49" s="45"/>
      <c r="C49" s="51" t="s">
        <v>1570</v>
      </c>
      <c r="D49" s="51" t="s">
        <v>1571</v>
      </c>
      <c r="E49" s="65" t="s">
        <v>1572</v>
      </c>
      <c r="F49" s="65" t="s">
        <v>1573</v>
      </c>
      <c r="G49" s="66">
        <f>25.2/1000</f>
        <v>2.52E-2</v>
      </c>
      <c r="H49" s="67">
        <f t="shared" si="0"/>
        <v>2.52E-2</v>
      </c>
      <c r="I49" s="68"/>
      <c r="J49" s="55">
        <f t="shared" si="2"/>
        <v>0</v>
      </c>
      <c r="K49" s="69">
        <f t="shared" ref="K49" si="4">H49+J49</f>
        <v>2.52E-2</v>
      </c>
      <c r="L49" s="68" t="s">
        <v>1574</v>
      </c>
    </row>
    <row r="50" spans="1:12" x14ac:dyDescent="0.3">
      <c r="A50" s="45"/>
      <c r="B50" s="45"/>
      <c r="C50" s="45" t="s">
        <v>1575</v>
      </c>
      <c r="D50" s="45" t="s">
        <v>1576</v>
      </c>
      <c r="E50" s="61" t="s">
        <v>1494</v>
      </c>
      <c r="F50" s="61" t="s">
        <v>1577</v>
      </c>
      <c r="G50" s="58">
        <f>4*4</f>
        <v>16</v>
      </c>
      <c r="H50" s="47">
        <f t="shared" si="0"/>
        <v>16</v>
      </c>
      <c r="I50" s="62"/>
      <c r="J50" s="49">
        <f t="shared" si="2"/>
        <v>0</v>
      </c>
      <c r="K50" s="49">
        <f t="shared" si="1"/>
        <v>16</v>
      </c>
      <c r="L50" s="60"/>
    </row>
    <row r="51" spans="1:12" x14ac:dyDescent="0.3">
      <c r="A51" s="45"/>
      <c r="B51" s="45"/>
      <c r="C51" s="45" t="s">
        <v>1578</v>
      </c>
      <c r="D51" s="45" t="s">
        <v>1579</v>
      </c>
      <c r="E51" s="57" t="s">
        <v>1494</v>
      </c>
      <c r="F51" s="57" t="s">
        <v>1580</v>
      </c>
      <c r="G51" s="70">
        <f>24*4</f>
        <v>96</v>
      </c>
      <c r="H51" s="47">
        <f t="shared" si="0"/>
        <v>96</v>
      </c>
      <c r="I51" s="48">
        <v>0.1</v>
      </c>
      <c r="J51" s="49">
        <f t="shared" si="2"/>
        <v>9.6</v>
      </c>
      <c r="K51" s="49">
        <f>ROUNDUP((H51+J51),0)</f>
        <v>106</v>
      </c>
      <c r="L51" s="59"/>
    </row>
    <row r="52" spans="1:12" x14ac:dyDescent="0.3">
      <c r="A52" s="45"/>
      <c r="B52" s="45"/>
      <c r="C52" s="51" t="s">
        <v>1581</v>
      </c>
      <c r="D52" s="51" t="s">
        <v>1582</v>
      </c>
      <c r="E52" s="71" t="s">
        <v>1561</v>
      </c>
      <c r="F52" s="71">
        <v>1</v>
      </c>
      <c r="G52" s="72">
        <f>1</f>
        <v>1</v>
      </c>
      <c r="H52" s="53">
        <f t="shared" si="0"/>
        <v>1</v>
      </c>
      <c r="I52" s="54"/>
      <c r="J52" s="55">
        <f t="shared" si="2"/>
        <v>0</v>
      </c>
      <c r="K52" s="55">
        <f t="shared" ref="K52:K56" si="5">ROUNDUP((H52+J52),0)</f>
        <v>1</v>
      </c>
      <c r="L52" s="73"/>
    </row>
    <row r="53" spans="1:12" x14ac:dyDescent="0.3">
      <c r="A53" s="45"/>
      <c r="B53" s="45"/>
      <c r="C53" s="51" t="s">
        <v>1581</v>
      </c>
      <c r="D53" s="51" t="s">
        <v>1583</v>
      </c>
      <c r="E53" s="71" t="s">
        <v>1561</v>
      </c>
      <c r="F53" s="71"/>
      <c r="G53" s="72"/>
      <c r="H53" s="53">
        <f t="shared" si="0"/>
        <v>0</v>
      </c>
      <c r="I53" s="54"/>
      <c r="J53" s="55">
        <f t="shared" si="2"/>
        <v>0</v>
      </c>
      <c r="K53" s="55">
        <f t="shared" si="5"/>
        <v>0</v>
      </c>
      <c r="L53" s="73"/>
    </row>
    <row r="54" spans="1:12" x14ac:dyDescent="0.3">
      <c r="A54" s="45"/>
      <c r="B54" s="45"/>
      <c r="C54" s="51" t="s">
        <v>1581</v>
      </c>
      <c r="D54" s="51" t="s">
        <v>1584</v>
      </c>
      <c r="E54" s="71" t="s">
        <v>1561</v>
      </c>
      <c r="F54" s="71"/>
      <c r="G54" s="72"/>
      <c r="H54" s="53">
        <f t="shared" si="0"/>
        <v>0</v>
      </c>
      <c r="I54" s="54"/>
      <c r="J54" s="55">
        <f t="shared" si="2"/>
        <v>0</v>
      </c>
      <c r="K54" s="55">
        <f t="shared" si="5"/>
        <v>0</v>
      </c>
      <c r="L54" s="73"/>
    </row>
    <row r="55" spans="1:12" x14ac:dyDescent="0.3">
      <c r="A55" s="45"/>
      <c r="B55" s="45"/>
      <c r="C55" s="51" t="s">
        <v>1581</v>
      </c>
      <c r="D55" s="51" t="s">
        <v>1586</v>
      </c>
      <c r="E55" s="71" t="s">
        <v>1561</v>
      </c>
      <c r="F55" s="71"/>
      <c r="G55" s="72"/>
      <c r="H55" s="53">
        <f t="shared" si="0"/>
        <v>0</v>
      </c>
      <c r="I55" s="54"/>
      <c r="J55" s="55">
        <f t="shared" si="2"/>
        <v>0</v>
      </c>
      <c r="K55" s="55">
        <f t="shared" si="5"/>
        <v>0</v>
      </c>
      <c r="L55" s="73"/>
    </row>
    <row r="56" spans="1:12" x14ac:dyDescent="0.3">
      <c r="A56" s="45"/>
      <c r="B56" s="45"/>
      <c r="C56" s="51" t="s">
        <v>1587</v>
      </c>
      <c r="D56" s="51" t="s">
        <v>1588</v>
      </c>
      <c r="E56" s="71" t="s">
        <v>1589</v>
      </c>
      <c r="F56" s="71" t="s">
        <v>1504</v>
      </c>
      <c r="G56" s="72">
        <f>1+1</f>
        <v>2</v>
      </c>
      <c r="H56" s="53">
        <f t="shared" si="0"/>
        <v>2</v>
      </c>
      <c r="I56" s="54"/>
      <c r="J56" s="55">
        <f t="shared" si="2"/>
        <v>0</v>
      </c>
      <c r="K56" s="55">
        <f t="shared" si="5"/>
        <v>2</v>
      </c>
      <c r="L56" s="73"/>
    </row>
    <row r="57" spans="1:12" x14ac:dyDescent="0.3">
      <c r="A57" s="45"/>
      <c r="B57" s="45"/>
      <c r="C57" s="45" t="s">
        <v>1590</v>
      </c>
      <c r="D57" s="45" t="s">
        <v>1591</v>
      </c>
      <c r="E57" s="45" t="s">
        <v>1592</v>
      </c>
      <c r="F57" s="45" t="s">
        <v>1593</v>
      </c>
      <c r="G57" s="46">
        <f>((70*20)*2)+((30*20)*2)+((70*20)*2)+((40*20)*2)</f>
        <v>8400</v>
      </c>
      <c r="H57" s="74">
        <f>G57</f>
        <v>8400</v>
      </c>
      <c r="I57" s="48">
        <v>0.1</v>
      </c>
      <c r="J57" s="49">
        <f t="shared" si="2"/>
        <v>840</v>
      </c>
      <c r="K57" s="49">
        <f>ROUNDUP((H57+J57),0)</f>
        <v>9240</v>
      </c>
      <c r="L57" s="50"/>
    </row>
    <row r="58" spans="1:12" x14ac:dyDescent="0.3">
      <c r="A58" s="45"/>
      <c r="B58" s="45"/>
      <c r="C58" s="45" t="s">
        <v>1595</v>
      </c>
      <c r="D58" s="45" t="s">
        <v>1596</v>
      </c>
      <c r="E58" s="57" t="s">
        <v>1597</v>
      </c>
      <c r="F58" s="57" t="s">
        <v>1504</v>
      </c>
      <c r="G58" s="58">
        <f>1+1</f>
        <v>2</v>
      </c>
      <c r="H58" s="47">
        <f t="shared" ref="H58:H120" si="6">G58</f>
        <v>2</v>
      </c>
      <c r="I58" s="48"/>
      <c r="J58" s="49">
        <f>ROUND((H58*I58),1)</f>
        <v>0</v>
      </c>
      <c r="K58" s="49">
        <f t="shared" ref="K58" si="7">ROUNDUP((H58+J58),0)</f>
        <v>2</v>
      </c>
      <c r="L58" s="59"/>
    </row>
    <row r="59" spans="1:12" x14ac:dyDescent="0.3">
      <c r="A59" s="45"/>
      <c r="B59" s="45"/>
      <c r="C59" s="45" t="s">
        <v>1598</v>
      </c>
      <c r="D59" s="45" t="s">
        <v>1496</v>
      </c>
      <c r="E59" s="57" t="s">
        <v>1599</v>
      </c>
      <c r="F59" s="57" t="s">
        <v>1600</v>
      </c>
      <c r="G59" s="58">
        <f>1+1+12+1+1.5+2.1+3.5</f>
        <v>22.1</v>
      </c>
      <c r="H59" s="47">
        <f t="shared" si="6"/>
        <v>22.1</v>
      </c>
      <c r="I59" s="48">
        <v>0.1</v>
      </c>
      <c r="J59" s="49">
        <f t="shared" si="2"/>
        <v>2.2000000000000002</v>
      </c>
      <c r="K59" s="49">
        <f>ROUNDUP((H59+J59),0)</f>
        <v>25</v>
      </c>
      <c r="L59" s="59"/>
    </row>
    <row r="60" spans="1:12" x14ac:dyDescent="0.3">
      <c r="A60" s="45"/>
      <c r="B60" s="45"/>
      <c r="C60" s="45" t="s">
        <v>1601</v>
      </c>
      <c r="D60" s="45" t="s">
        <v>1602</v>
      </c>
      <c r="E60" s="57" t="s">
        <v>1494</v>
      </c>
      <c r="F60" s="57">
        <v>1</v>
      </c>
      <c r="G60" s="58">
        <f>1</f>
        <v>1</v>
      </c>
      <c r="H60" s="47">
        <f t="shared" si="6"/>
        <v>1</v>
      </c>
      <c r="I60" s="60"/>
      <c r="J60" s="49">
        <f t="shared" si="2"/>
        <v>0</v>
      </c>
      <c r="K60" s="49">
        <f t="shared" ref="K60:K63" si="8">ROUNDUP((H60+J60),0)</f>
        <v>1</v>
      </c>
      <c r="L60" s="59"/>
    </row>
    <row r="61" spans="1:12" x14ac:dyDescent="0.3">
      <c r="A61" s="45"/>
      <c r="B61" s="45"/>
      <c r="C61" s="45" t="s">
        <v>1603</v>
      </c>
      <c r="D61" s="45" t="s">
        <v>1496</v>
      </c>
      <c r="E61" s="61" t="s">
        <v>1494</v>
      </c>
      <c r="F61" s="61" t="s">
        <v>1504</v>
      </c>
      <c r="G61" s="58">
        <f>1+1</f>
        <v>2</v>
      </c>
      <c r="H61" s="47">
        <f t="shared" si="6"/>
        <v>2</v>
      </c>
      <c r="I61" s="60"/>
      <c r="J61" s="49">
        <f t="shared" si="2"/>
        <v>0</v>
      </c>
      <c r="K61" s="49">
        <f t="shared" si="8"/>
        <v>2</v>
      </c>
      <c r="L61" s="60"/>
    </row>
    <row r="62" spans="1:12" x14ac:dyDescent="0.3">
      <c r="A62" s="45"/>
      <c r="B62" s="45"/>
      <c r="C62" s="45" t="s">
        <v>1604</v>
      </c>
      <c r="D62" s="45" t="s">
        <v>1496</v>
      </c>
      <c r="E62" s="61" t="s">
        <v>1605</v>
      </c>
      <c r="F62" s="61" t="s">
        <v>1606</v>
      </c>
      <c r="G62" s="58">
        <f>1+1</f>
        <v>2</v>
      </c>
      <c r="H62" s="47">
        <f t="shared" si="6"/>
        <v>2</v>
      </c>
      <c r="I62" s="62"/>
      <c r="J62" s="49">
        <f t="shared" si="2"/>
        <v>0</v>
      </c>
      <c r="K62" s="49">
        <f t="shared" si="8"/>
        <v>2</v>
      </c>
      <c r="L62" s="60"/>
    </row>
    <row r="63" spans="1:12" x14ac:dyDescent="0.3">
      <c r="A63" s="45"/>
      <c r="B63" s="45"/>
      <c r="C63" s="45" t="s">
        <v>1607</v>
      </c>
      <c r="D63" s="45" t="s">
        <v>1608</v>
      </c>
      <c r="E63" s="57" t="s">
        <v>1494</v>
      </c>
      <c r="F63" s="57">
        <v>1</v>
      </c>
      <c r="G63" s="58">
        <f>1</f>
        <v>1</v>
      </c>
      <c r="H63" s="47">
        <f t="shared" si="6"/>
        <v>1</v>
      </c>
      <c r="I63" s="64"/>
      <c r="J63" s="49">
        <f t="shared" si="2"/>
        <v>0</v>
      </c>
      <c r="K63" s="49">
        <f t="shared" si="8"/>
        <v>1</v>
      </c>
      <c r="L63" s="59"/>
    </row>
    <row r="64" spans="1:12" x14ac:dyDescent="0.3">
      <c r="A64" s="45"/>
      <c r="B64" s="45"/>
      <c r="C64" s="45" t="s">
        <v>1609</v>
      </c>
      <c r="D64" s="45" t="s">
        <v>1610</v>
      </c>
      <c r="E64" s="57" t="s">
        <v>1605</v>
      </c>
      <c r="F64" s="57">
        <v>1</v>
      </c>
      <c r="G64" s="58">
        <f>1</f>
        <v>1</v>
      </c>
      <c r="H64" s="47">
        <f t="shared" si="6"/>
        <v>1</v>
      </c>
      <c r="I64" s="64"/>
      <c r="J64" s="49">
        <f t="shared" si="2"/>
        <v>0</v>
      </c>
      <c r="K64" s="49">
        <f>ROUNDUP((H64+J64),0)</f>
        <v>1</v>
      </c>
      <c r="L64" s="59"/>
    </row>
    <row r="65" spans="1:12" x14ac:dyDescent="0.3">
      <c r="A65" s="45"/>
      <c r="B65" s="45"/>
      <c r="C65" s="45" t="s">
        <v>1611</v>
      </c>
      <c r="D65" s="45" t="s">
        <v>1612</v>
      </c>
      <c r="E65" s="57" t="s">
        <v>1494</v>
      </c>
      <c r="F65" s="57">
        <v>1</v>
      </c>
      <c r="G65" s="58">
        <f>1</f>
        <v>1</v>
      </c>
      <c r="H65" s="47">
        <f t="shared" si="6"/>
        <v>1</v>
      </c>
      <c r="I65" s="60"/>
      <c r="J65" s="49">
        <f t="shared" si="2"/>
        <v>0</v>
      </c>
      <c r="K65" s="49">
        <f t="shared" ref="K65:K77" si="9">ROUNDUP((H65+J65),0)</f>
        <v>1</v>
      </c>
      <c r="L65" s="59"/>
    </row>
    <row r="66" spans="1:12" x14ac:dyDescent="0.3">
      <c r="A66" s="45"/>
      <c r="B66" s="45"/>
      <c r="C66" s="45" t="s">
        <v>1613</v>
      </c>
      <c r="D66" s="45" t="s">
        <v>1614</v>
      </c>
      <c r="E66" s="57" t="s">
        <v>1568</v>
      </c>
      <c r="F66" s="63" t="s">
        <v>1615</v>
      </c>
      <c r="G66" s="58">
        <f>3.5</f>
        <v>3.5</v>
      </c>
      <c r="H66" s="47">
        <f t="shared" si="6"/>
        <v>3.5</v>
      </c>
      <c r="I66" s="60"/>
      <c r="J66" s="49">
        <f t="shared" si="2"/>
        <v>0</v>
      </c>
      <c r="K66" s="49">
        <f t="shared" si="9"/>
        <v>4</v>
      </c>
      <c r="L66" s="59"/>
    </row>
    <row r="67" spans="1:12" x14ac:dyDescent="0.3">
      <c r="A67" s="45"/>
      <c r="B67" s="45"/>
      <c r="C67" s="45" t="s">
        <v>1616</v>
      </c>
      <c r="D67" s="45" t="s">
        <v>1617</v>
      </c>
      <c r="E67" s="61" t="s">
        <v>1494</v>
      </c>
      <c r="F67" s="61" t="s">
        <v>1504</v>
      </c>
      <c r="G67" s="58">
        <f>1+1</f>
        <v>2</v>
      </c>
      <c r="H67" s="47">
        <f t="shared" si="6"/>
        <v>2</v>
      </c>
      <c r="I67" s="60"/>
      <c r="J67" s="49">
        <f t="shared" si="2"/>
        <v>0</v>
      </c>
      <c r="K67" s="49">
        <f t="shared" si="9"/>
        <v>2</v>
      </c>
      <c r="L67" s="60"/>
    </row>
    <row r="68" spans="1:12" x14ac:dyDescent="0.3">
      <c r="A68" s="45"/>
      <c r="B68" s="45"/>
      <c r="C68" s="45" t="s">
        <v>1618</v>
      </c>
      <c r="D68" s="45" t="s">
        <v>1617</v>
      </c>
      <c r="E68" s="61" t="s">
        <v>1494</v>
      </c>
      <c r="F68" s="61">
        <v>1</v>
      </c>
      <c r="G68" s="58">
        <f>1</f>
        <v>1</v>
      </c>
      <c r="H68" s="47">
        <f t="shared" si="6"/>
        <v>1</v>
      </c>
      <c r="I68" s="60"/>
      <c r="J68" s="49">
        <f>ROUND((H68*I68),1)</f>
        <v>0</v>
      </c>
      <c r="K68" s="49">
        <f t="shared" si="9"/>
        <v>1</v>
      </c>
      <c r="L68" s="60"/>
    </row>
    <row r="69" spans="1:12" x14ac:dyDescent="0.3">
      <c r="A69" s="44" t="s">
        <v>1619</v>
      </c>
      <c r="B69" s="44" t="s">
        <v>1619</v>
      </c>
      <c r="C69" s="45" t="s">
        <v>1484</v>
      </c>
      <c r="D69" s="45" t="s">
        <v>1620</v>
      </c>
      <c r="E69" s="45" t="s">
        <v>1486</v>
      </c>
      <c r="F69" s="45"/>
      <c r="G69" s="46"/>
      <c r="H69" s="47">
        <f t="shared" si="6"/>
        <v>0</v>
      </c>
      <c r="I69" s="48"/>
      <c r="J69" s="49">
        <f>ROUND((H69*I69),1)</f>
        <v>0</v>
      </c>
      <c r="K69" s="49">
        <f t="shared" si="9"/>
        <v>0</v>
      </c>
      <c r="L69" s="50"/>
    </row>
    <row r="70" spans="1:12" x14ac:dyDescent="0.3">
      <c r="A70" s="45"/>
      <c r="B70" s="45"/>
      <c r="C70" s="45" t="s">
        <v>1484</v>
      </c>
      <c r="D70" s="45" t="s">
        <v>1485</v>
      </c>
      <c r="E70" s="45" t="s">
        <v>1486</v>
      </c>
      <c r="F70" s="45"/>
      <c r="G70" s="46"/>
      <c r="H70" s="47">
        <f t="shared" si="6"/>
        <v>0</v>
      </c>
      <c r="I70" s="48"/>
      <c r="J70" s="49">
        <f>ROUND((H70*I70),1)</f>
        <v>0</v>
      </c>
      <c r="K70" s="49">
        <f t="shared" si="9"/>
        <v>0</v>
      </c>
      <c r="L70" s="50"/>
    </row>
    <row r="71" spans="1:12" x14ac:dyDescent="0.3">
      <c r="A71" s="45"/>
      <c r="B71" s="45"/>
      <c r="C71" s="45" t="s">
        <v>1484</v>
      </c>
      <c r="D71" s="45" t="s">
        <v>1488</v>
      </c>
      <c r="E71" s="45" t="s">
        <v>1486</v>
      </c>
      <c r="F71" s="45"/>
      <c r="G71" s="46"/>
      <c r="H71" s="47">
        <f t="shared" si="6"/>
        <v>0</v>
      </c>
      <c r="I71" s="48"/>
      <c r="J71" s="49">
        <f t="shared" ref="J71:J96" si="10">ROUND((H71*I71),1)</f>
        <v>0</v>
      </c>
      <c r="K71" s="49">
        <f t="shared" si="9"/>
        <v>0</v>
      </c>
      <c r="L71" s="50"/>
    </row>
    <row r="72" spans="1:12" x14ac:dyDescent="0.3">
      <c r="A72" s="45"/>
      <c r="B72" s="45"/>
      <c r="C72" s="45" t="s">
        <v>1484</v>
      </c>
      <c r="D72" s="45" t="s">
        <v>1489</v>
      </c>
      <c r="E72" s="45" t="s">
        <v>1486</v>
      </c>
      <c r="F72" s="45">
        <v>1</v>
      </c>
      <c r="G72" s="46">
        <f>1</f>
        <v>1</v>
      </c>
      <c r="H72" s="47">
        <f t="shared" si="6"/>
        <v>1</v>
      </c>
      <c r="I72" s="48"/>
      <c r="J72" s="49">
        <f t="shared" si="10"/>
        <v>0</v>
      </c>
      <c r="K72" s="49">
        <f t="shared" si="9"/>
        <v>1</v>
      </c>
      <c r="L72" s="50"/>
    </row>
    <row r="73" spans="1:12" x14ac:dyDescent="0.3">
      <c r="A73" s="45"/>
      <c r="B73" s="45"/>
      <c r="C73" s="45" t="s">
        <v>1484</v>
      </c>
      <c r="D73" s="45" t="s">
        <v>1490</v>
      </c>
      <c r="E73" s="45" t="s">
        <v>1486</v>
      </c>
      <c r="F73" s="45"/>
      <c r="G73" s="46"/>
      <c r="H73" s="47">
        <f t="shared" si="6"/>
        <v>0</v>
      </c>
      <c r="I73" s="48"/>
      <c r="J73" s="49">
        <f t="shared" si="10"/>
        <v>0</v>
      </c>
      <c r="K73" s="49">
        <f t="shared" si="9"/>
        <v>0</v>
      </c>
      <c r="L73" s="50"/>
    </row>
    <row r="74" spans="1:12" x14ac:dyDescent="0.3">
      <c r="A74" s="45"/>
      <c r="B74" s="45"/>
      <c r="C74" s="45" t="s">
        <v>1491</v>
      </c>
      <c r="D74" s="45" t="s">
        <v>1492</v>
      </c>
      <c r="E74" s="45" t="s">
        <v>1494</v>
      </c>
      <c r="F74" s="45">
        <v>1</v>
      </c>
      <c r="G74" s="46">
        <f>1</f>
        <v>1</v>
      </c>
      <c r="H74" s="47">
        <f t="shared" si="6"/>
        <v>1</v>
      </c>
      <c r="I74" s="48"/>
      <c r="J74" s="49">
        <f t="shared" si="10"/>
        <v>0</v>
      </c>
      <c r="K74" s="49">
        <f t="shared" si="9"/>
        <v>1</v>
      </c>
      <c r="L74" s="50"/>
    </row>
    <row r="75" spans="1:12" x14ac:dyDescent="0.3">
      <c r="A75" s="45"/>
      <c r="B75" s="45"/>
      <c r="C75" s="45" t="s">
        <v>1495</v>
      </c>
      <c r="D75" s="45" t="s">
        <v>1496</v>
      </c>
      <c r="E75" s="45" t="s">
        <v>1494</v>
      </c>
      <c r="F75" s="45"/>
      <c r="G75" s="46"/>
      <c r="H75" s="47">
        <f t="shared" si="6"/>
        <v>0</v>
      </c>
      <c r="I75" s="48"/>
      <c r="J75" s="49">
        <f t="shared" si="10"/>
        <v>0</v>
      </c>
      <c r="K75" s="49">
        <f t="shared" si="9"/>
        <v>0</v>
      </c>
      <c r="L75" s="50"/>
    </row>
    <row r="76" spans="1:12" x14ac:dyDescent="0.3">
      <c r="A76" s="45"/>
      <c r="B76" s="45"/>
      <c r="C76" s="45" t="s">
        <v>1499</v>
      </c>
      <c r="D76" s="45" t="s">
        <v>1500</v>
      </c>
      <c r="E76" s="45" t="s">
        <v>1494</v>
      </c>
      <c r="F76" s="45"/>
      <c r="G76" s="46"/>
      <c r="H76" s="47">
        <f t="shared" si="6"/>
        <v>0</v>
      </c>
      <c r="I76" s="48"/>
      <c r="J76" s="49">
        <f t="shared" si="10"/>
        <v>0</v>
      </c>
      <c r="K76" s="49">
        <f t="shared" si="9"/>
        <v>0</v>
      </c>
      <c r="L76" s="50"/>
    </row>
    <row r="77" spans="1:12" x14ac:dyDescent="0.3">
      <c r="A77" s="45"/>
      <c r="B77" s="45"/>
      <c r="C77" s="45" t="s">
        <v>1499</v>
      </c>
      <c r="D77" s="45" t="s">
        <v>1501</v>
      </c>
      <c r="E77" s="45" t="s">
        <v>1494</v>
      </c>
      <c r="F77" s="45">
        <v>1</v>
      </c>
      <c r="G77" s="46">
        <f>1</f>
        <v>1</v>
      </c>
      <c r="H77" s="47">
        <f t="shared" si="6"/>
        <v>1</v>
      </c>
      <c r="I77" s="48"/>
      <c r="J77" s="49">
        <f t="shared" si="10"/>
        <v>0</v>
      </c>
      <c r="K77" s="49">
        <f t="shared" si="9"/>
        <v>1</v>
      </c>
      <c r="L77" s="50"/>
    </row>
    <row r="78" spans="1:12" x14ac:dyDescent="0.3">
      <c r="A78" s="45"/>
      <c r="B78" s="45"/>
      <c r="C78" s="45" t="s">
        <v>1502</v>
      </c>
      <c r="D78" s="45" t="s">
        <v>1503</v>
      </c>
      <c r="E78" s="57" t="s">
        <v>1494</v>
      </c>
      <c r="F78" s="57"/>
      <c r="G78" s="58"/>
      <c r="H78" s="47">
        <f t="shared" si="6"/>
        <v>0</v>
      </c>
      <c r="I78" s="48"/>
      <c r="J78" s="49">
        <f t="shared" si="10"/>
        <v>0</v>
      </c>
      <c r="K78" s="49">
        <f>ROUNDUP((H78+J78),0)</f>
        <v>0</v>
      </c>
      <c r="L78" s="59"/>
    </row>
    <row r="79" spans="1:12" x14ac:dyDescent="0.3">
      <c r="A79" s="45"/>
      <c r="B79" s="45"/>
      <c r="C79" s="45" t="s">
        <v>1505</v>
      </c>
      <c r="D79" s="45" t="s">
        <v>1503</v>
      </c>
      <c r="E79" s="57" t="s">
        <v>1494</v>
      </c>
      <c r="F79" s="57"/>
      <c r="G79" s="58"/>
      <c r="H79" s="47">
        <f t="shared" si="6"/>
        <v>0</v>
      </c>
      <c r="I79" s="48"/>
      <c r="J79" s="49">
        <f t="shared" si="10"/>
        <v>0</v>
      </c>
      <c r="K79" s="49">
        <f t="shared" ref="K79:K93" si="11">ROUNDUP((H79+J79),0)</f>
        <v>0</v>
      </c>
      <c r="L79" s="59"/>
    </row>
    <row r="80" spans="1:12" x14ac:dyDescent="0.3">
      <c r="A80" s="45"/>
      <c r="B80" s="45"/>
      <c r="C80" s="45" t="s">
        <v>1502</v>
      </c>
      <c r="D80" s="45" t="s">
        <v>1506</v>
      </c>
      <c r="E80" s="57" t="s">
        <v>1494</v>
      </c>
      <c r="F80" s="57" t="s">
        <v>1621</v>
      </c>
      <c r="G80" s="58">
        <f>1</f>
        <v>1</v>
      </c>
      <c r="H80" s="47">
        <f t="shared" si="6"/>
        <v>1</v>
      </c>
      <c r="I80" s="48"/>
      <c r="J80" s="49">
        <f t="shared" si="10"/>
        <v>0</v>
      </c>
      <c r="K80" s="49">
        <f t="shared" si="11"/>
        <v>1</v>
      </c>
      <c r="L80" s="59"/>
    </row>
    <row r="81" spans="1:12" x14ac:dyDescent="0.3">
      <c r="A81" s="45"/>
      <c r="B81" s="45"/>
      <c r="C81" s="45" t="s">
        <v>1505</v>
      </c>
      <c r="D81" s="45" t="s">
        <v>1506</v>
      </c>
      <c r="E81" s="57" t="s">
        <v>1494</v>
      </c>
      <c r="F81" s="57"/>
      <c r="G81" s="58"/>
      <c r="H81" s="47">
        <f t="shared" si="6"/>
        <v>0</v>
      </c>
      <c r="I81" s="48"/>
      <c r="J81" s="49">
        <f t="shared" si="10"/>
        <v>0</v>
      </c>
      <c r="K81" s="49">
        <f t="shared" si="11"/>
        <v>0</v>
      </c>
      <c r="L81" s="59"/>
    </row>
    <row r="82" spans="1:12" x14ac:dyDescent="0.3">
      <c r="A82" s="45"/>
      <c r="B82" s="45"/>
      <c r="C82" s="45" t="s">
        <v>1507</v>
      </c>
      <c r="D82" s="45" t="s">
        <v>1508</v>
      </c>
      <c r="E82" s="57" t="s">
        <v>1494</v>
      </c>
      <c r="F82" s="57"/>
      <c r="G82" s="58"/>
      <c r="H82" s="47">
        <f t="shared" si="6"/>
        <v>0</v>
      </c>
      <c r="I82" s="60"/>
      <c r="J82" s="49">
        <f t="shared" si="10"/>
        <v>0</v>
      </c>
      <c r="K82" s="49">
        <f t="shared" si="11"/>
        <v>0</v>
      </c>
      <c r="L82" s="59"/>
    </row>
    <row r="83" spans="1:12" x14ac:dyDescent="0.3">
      <c r="A83" s="45"/>
      <c r="B83" s="45"/>
      <c r="C83" s="45" t="s">
        <v>1507</v>
      </c>
      <c r="D83" s="45" t="s">
        <v>1622</v>
      </c>
      <c r="E83" s="57" t="s">
        <v>1494</v>
      </c>
      <c r="F83" s="57"/>
      <c r="G83" s="58"/>
      <c r="H83" s="47">
        <f t="shared" si="6"/>
        <v>0</v>
      </c>
      <c r="I83" s="60"/>
      <c r="J83" s="49">
        <f t="shared" si="10"/>
        <v>0</v>
      </c>
      <c r="K83" s="49">
        <f t="shared" si="11"/>
        <v>0</v>
      </c>
      <c r="L83" s="59"/>
    </row>
    <row r="84" spans="1:12" x14ac:dyDescent="0.3">
      <c r="A84" s="45"/>
      <c r="B84" s="45"/>
      <c r="C84" s="45" t="s">
        <v>1507</v>
      </c>
      <c r="D84" s="45" t="s">
        <v>1510</v>
      </c>
      <c r="E84" s="57" t="s">
        <v>1494</v>
      </c>
      <c r="F84" s="57"/>
      <c r="G84" s="58"/>
      <c r="H84" s="47">
        <f t="shared" si="6"/>
        <v>0</v>
      </c>
      <c r="I84" s="60"/>
      <c r="J84" s="49">
        <f t="shared" si="10"/>
        <v>0</v>
      </c>
      <c r="K84" s="49">
        <f t="shared" si="11"/>
        <v>0</v>
      </c>
      <c r="L84" s="59"/>
    </row>
    <row r="85" spans="1:12" x14ac:dyDescent="0.3">
      <c r="A85" s="45"/>
      <c r="B85" s="45"/>
      <c r="C85" s="45" t="s">
        <v>1507</v>
      </c>
      <c r="D85" s="45" t="s">
        <v>1623</v>
      </c>
      <c r="E85" s="57" t="s">
        <v>1494</v>
      </c>
      <c r="F85" s="57">
        <v>1</v>
      </c>
      <c r="G85" s="58">
        <f>1</f>
        <v>1</v>
      </c>
      <c r="H85" s="47">
        <f t="shared" si="6"/>
        <v>1</v>
      </c>
      <c r="I85" s="60"/>
      <c r="J85" s="49">
        <f t="shared" si="10"/>
        <v>0</v>
      </c>
      <c r="K85" s="49">
        <f t="shared" si="11"/>
        <v>1</v>
      </c>
      <c r="L85" s="59"/>
    </row>
    <row r="86" spans="1:12" x14ac:dyDescent="0.3">
      <c r="A86" s="45"/>
      <c r="B86" s="45"/>
      <c r="C86" s="45" t="s">
        <v>1514</v>
      </c>
      <c r="D86" s="45" t="s">
        <v>1515</v>
      </c>
      <c r="E86" s="61" t="s">
        <v>1494</v>
      </c>
      <c r="F86" s="61" t="s">
        <v>1624</v>
      </c>
      <c r="G86" s="58">
        <f>1</f>
        <v>1</v>
      </c>
      <c r="H86" s="47">
        <f t="shared" si="6"/>
        <v>1</v>
      </c>
      <c r="I86" s="62"/>
      <c r="J86" s="49">
        <f t="shared" si="10"/>
        <v>0</v>
      </c>
      <c r="K86" s="49">
        <f t="shared" si="11"/>
        <v>1</v>
      </c>
      <c r="L86" s="60"/>
    </row>
    <row r="87" spans="1:12" x14ac:dyDescent="0.3">
      <c r="A87" s="45"/>
      <c r="B87" s="45"/>
      <c r="C87" s="45" t="s">
        <v>1517</v>
      </c>
      <c r="D87" s="45" t="s">
        <v>1515</v>
      </c>
      <c r="E87" s="61" t="s">
        <v>1494</v>
      </c>
      <c r="F87" s="61"/>
      <c r="G87" s="58"/>
      <c r="H87" s="47">
        <f t="shared" si="6"/>
        <v>0</v>
      </c>
      <c r="I87" s="62"/>
      <c r="J87" s="49">
        <f t="shared" si="10"/>
        <v>0</v>
      </c>
      <c r="K87" s="49">
        <f t="shared" si="11"/>
        <v>0</v>
      </c>
      <c r="L87" s="60"/>
    </row>
    <row r="88" spans="1:12" x14ac:dyDescent="0.3">
      <c r="A88" s="45"/>
      <c r="B88" s="45"/>
      <c r="C88" s="45" t="s">
        <v>1519</v>
      </c>
      <c r="D88" s="45" t="s">
        <v>1515</v>
      </c>
      <c r="E88" s="61" t="s">
        <v>1494</v>
      </c>
      <c r="F88" s="61"/>
      <c r="G88" s="58"/>
      <c r="H88" s="47">
        <f t="shared" si="6"/>
        <v>0</v>
      </c>
      <c r="I88" s="62"/>
      <c r="J88" s="49">
        <f t="shared" si="10"/>
        <v>0</v>
      </c>
      <c r="K88" s="49">
        <f t="shared" si="11"/>
        <v>0</v>
      </c>
      <c r="L88" s="60"/>
    </row>
    <row r="89" spans="1:12" x14ac:dyDescent="0.3">
      <c r="A89" s="45"/>
      <c r="B89" s="45"/>
      <c r="C89" s="45" t="s">
        <v>1521</v>
      </c>
      <c r="D89" s="45" t="s">
        <v>1522</v>
      </c>
      <c r="E89" s="61" t="s">
        <v>74</v>
      </c>
      <c r="F89" s="61"/>
      <c r="G89" s="58"/>
      <c r="H89" s="47">
        <f t="shared" si="6"/>
        <v>0</v>
      </c>
      <c r="I89" s="62">
        <v>0.1</v>
      </c>
      <c r="J89" s="49">
        <f t="shared" si="10"/>
        <v>0</v>
      </c>
      <c r="K89" s="49">
        <f t="shared" si="11"/>
        <v>0</v>
      </c>
      <c r="L89" s="60"/>
    </row>
    <row r="90" spans="1:12" x14ac:dyDescent="0.3">
      <c r="A90" s="45"/>
      <c r="B90" s="45"/>
      <c r="C90" s="45" t="s">
        <v>1521</v>
      </c>
      <c r="D90" s="45" t="s">
        <v>315</v>
      </c>
      <c r="E90" s="57" t="s">
        <v>74</v>
      </c>
      <c r="F90" s="57"/>
      <c r="G90" s="58"/>
      <c r="H90" s="47">
        <f t="shared" si="6"/>
        <v>0</v>
      </c>
      <c r="I90" s="62">
        <v>0.1</v>
      </c>
      <c r="J90" s="49">
        <f t="shared" si="10"/>
        <v>0</v>
      </c>
      <c r="K90" s="49">
        <f t="shared" si="11"/>
        <v>0</v>
      </c>
      <c r="L90" s="59"/>
    </row>
    <row r="91" spans="1:12" x14ac:dyDescent="0.3">
      <c r="A91" s="45"/>
      <c r="B91" s="45"/>
      <c r="C91" s="45" t="s">
        <v>1521</v>
      </c>
      <c r="D91" s="45" t="s">
        <v>265</v>
      </c>
      <c r="E91" s="57" t="s">
        <v>74</v>
      </c>
      <c r="F91" s="57"/>
      <c r="G91" s="58"/>
      <c r="H91" s="47">
        <f t="shared" si="6"/>
        <v>0</v>
      </c>
      <c r="I91" s="62">
        <v>0.1</v>
      </c>
      <c r="J91" s="49">
        <f t="shared" si="10"/>
        <v>0</v>
      </c>
      <c r="K91" s="49">
        <f t="shared" si="11"/>
        <v>0</v>
      </c>
      <c r="L91" s="59"/>
    </row>
    <row r="92" spans="1:12" x14ac:dyDescent="0.3">
      <c r="A92" s="45"/>
      <c r="B92" s="45"/>
      <c r="C92" s="45" t="s">
        <v>1521</v>
      </c>
      <c r="D92" s="45" t="s">
        <v>273</v>
      </c>
      <c r="E92" s="57" t="s">
        <v>74</v>
      </c>
      <c r="F92" s="57" t="s">
        <v>1625</v>
      </c>
      <c r="G92" s="58">
        <f>1.1+3.1+0.6</f>
        <v>4.8</v>
      </c>
      <c r="H92" s="47">
        <f t="shared" si="6"/>
        <v>4.8</v>
      </c>
      <c r="I92" s="62">
        <v>0.1</v>
      </c>
      <c r="J92" s="49">
        <f t="shared" si="10"/>
        <v>0.5</v>
      </c>
      <c r="K92" s="49">
        <f t="shared" si="11"/>
        <v>6</v>
      </c>
      <c r="L92" s="59"/>
    </row>
    <row r="93" spans="1:12" x14ac:dyDescent="0.3">
      <c r="A93" s="45"/>
      <c r="B93" s="45"/>
      <c r="C93" s="45" t="s">
        <v>1531</v>
      </c>
      <c r="D93" s="45" t="s">
        <v>1626</v>
      </c>
      <c r="E93" s="57" t="s">
        <v>1494</v>
      </c>
      <c r="F93" s="63"/>
      <c r="G93" s="58"/>
      <c r="H93" s="47">
        <f t="shared" si="6"/>
        <v>0</v>
      </c>
      <c r="I93" s="60"/>
      <c r="J93" s="49">
        <f t="shared" si="10"/>
        <v>0</v>
      </c>
      <c r="K93" s="49">
        <f t="shared" si="11"/>
        <v>0</v>
      </c>
      <c r="L93" s="59"/>
    </row>
    <row r="94" spans="1:12" x14ac:dyDescent="0.3">
      <c r="A94" s="45"/>
      <c r="B94" s="45"/>
      <c r="C94" s="45" t="s">
        <v>1531</v>
      </c>
      <c r="D94" s="45" t="s">
        <v>1532</v>
      </c>
      <c r="E94" s="61" t="s">
        <v>1494</v>
      </c>
      <c r="F94" s="61"/>
      <c r="G94" s="58"/>
      <c r="H94" s="47">
        <f t="shared" si="6"/>
        <v>0</v>
      </c>
      <c r="I94" s="60"/>
      <c r="J94" s="49">
        <f t="shared" si="10"/>
        <v>0</v>
      </c>
      <c r="K94" s="49">
        <f>ROUNDUP((H94+J94),0)</f>
        <v>0</v>
      </c>
      <c r="L94" s="60"/>
    </row>
    <row r="95" spans="1:12" x14ac:dyDescent="0.3">
      <c r="A95" s="45"/>
      <c r="B95" s="45"/>
      <c r="C95" s="45" t="s">
        <v>1531</v>
      </c>
      <c r="D95" s="45" t="s">
        <v>1627</v>
      </c>
      <c r="E95" s="61" t="s">
        <v>1494</v>
      </c>
      <c r="F95" s="61"/>
      <c r="G95" s="58"/>
      <c r="H95" s="47">
        <f t="shared" si="6"/>
        <v>0</v>
      </c>
      <c r="I95" s="60"/>
      <c r="J95" s="49">
        <f t="shared" si="10"/>
        <v>0</v>
      </c>
      <c r="K95" s="49">
        <f t="shared" ref="K95:K161" si="12">ROUNDUP((H95+J95),0)</f>
        <v>0</v>
      </c>
      <c r="L95" s="60"/>
    </row>
    <row r="96" spans="1:12" x14ac:dyDescent="0.3">
      <c r="A96" s="45"/>
      <c r="B96" s="45"/>
      <c r="C96" s="45" t="s">
        <v>1531</v>
      </c>
      <c r="D96" s="45" t="s">
        <v>1628</v>
      </c>
      <c r="E96" s="61" t="s">
        <v>1494</v>
      </c>
      <c r="F96" s="61"/>
      <c r="G96" s="58"/>
      <c r="H96" s="47">
        <f t="shared" si="6"/>
        <v>0</v>
      </c>
      <c r="I96" s="60"/>
      <c r="J96" s="49">
        <f t="shared" si="10"/>
        <v>0</v>
      </c>
      <c r="K96" s="49">
        <f t="shared" si="12"/>
        <v>0</v>
      </c>
      <c r="L96" s="60"/>
    </row>
    <row r="97" spans="1:12" x14ac:dyDescent="0.3">
      <c r="A97" s="45"/>
      <c r="B97" s="45"/>
      <c r="C97" s="45" t="s">
        <v>1531</v>
      </c>
      <c r="D97" s="45" t="s">
        <v>1629</v>
      </c>
      <c r="E97" s="61" t="s">
        <v>1494</v>
      </c>
      <c r="F97" s="61"/>
      <c r="G97" s="58"/>
      <c r="H97" s="47">
        <f t="shared" si="6"/>
        <v>0</v>
      </c>
      <c r="I97" s="60"/>
      <c r="J97" s="49">
        <f>ROUND((H97*I97),1)</f>
        <v>0</v>
      </c>
      <c r="K97" s="49">
        <f t="shared" si="12"/>
        <v>0</v>
      </c>
      <c r="L97" s="60"/>
    </row>
    <row r="98" spans="1:12" x14ac:dyDescent="0.3">
      <c r="A98" s="45"/>
      <c r="B98" s="45"/>
      <c r="C98" s="45" t="s">
        <v>1531</v>
      </c>
      <c r="D98" s="45" t="s">
        <v>1630</v>
      </c>
      <c r="E98" s="61" t="s">
        <v>1494</v>
      </c>
      <c r="F98" s="61"/>
      <c r="G98" s="58"/>
      <c r="H98" s="47">
        <f t="shared" si="6"/>
        <v>0</v>
      </c>
      <c r="I98" s="60"/>
      <c r="J98" s="49">
        <f t="shared" ref="J98:J123" si="13">ROUND((H98*I98),1)</f>
        <v>0</v>
      </c>
      <c r="K98" s="49">
        <f t="shared" si="12"/>
        <v>0</v>
      </c>
      <c r="L98" s="60"/>
    </row>
    <row r="99" spans="1:12" x14ac:dyDescent="0.3">
      <c r="A99" s="45"/>
      <c r="B99" s="45"/>
      <c r="C99" s="45" t="s">
        <v>1538</v>
      </c>
      <c r="D99" s="45" t="s">
        <v>1631</v>
      </c>
      <c r="E99" s="61" t="s">
        <v>1494</v>
      </c>
      <c r="F99" s="61"/>
      <c r="G99" s="58"/>
      <c r="H99" s="47">
        <f t="shared" si="6"/>
        <v>0</v>
      </c>
      <c r="I99" s="60"/>
      <c r="J99" s="49">
        <f t="shared" si="13"/>
        <v>0</v>
      </c>
      <c r="K99" s="49">
        <f t="shared" si="12"/>
        <v>0</v>
      </c>
      <c r="L99" s="60"/>
    </row>
    <row r="100" spans="1:12" x14ac:dyDescent="0.3">
      <c r="A100" s="45"/>
      <c r="B100" s="45"/>
      <c r="C100" s="45" t="s">
        <v>1538</v>
      </c>
      <c r="D100" s="45" t="s">
        <v>1541</v>
      </c>
      <c r="E100" s="61" t="s">
        <v>1494</v>
      </c>
      <c r="F100" s="61"/>
      <c r="G100" s="58"/>
      <c r="H100" s="47">
        <f t="shared" si="6"/>
        <v>0</v>
      </c>
      <c r="I100" s="60"/>
      <c r="J100" s="49">
        <f t="shared" si="13"/>
        <v>0</v>
      </c>
      <c r="K100" s="49">
        <f t="shared" si="12"/>
        <v>0</v>
      </c>
      <c r="L100" s="60"/>
    </row>
    <row r="101" spans="1:12" x14ac:dyDescent="0.3">
      <c r="A101" s="45"/>
      <c r="B101" s="45"/>
      <c r="C101" s="45" t="s">
        <v>1538</v>
      </c>
      <c r="D101" s="45" t="s">
        <v>1543</v>
      </c>
      <c r="E101" s="61" t="s">
        <v>1605</v>
      </c>
      <c r="F101" s="61"/>
      <c r="G101" s="58"/>
      <c r="H101" s="47">
        <f t="shared" si="6"/>
        <v>0</v>
      </c>
      <c r="I101" s="60"/>
      <c r="J101" s="49">
        <f t="shared" si="13"/>
        <v>0</v>
      </c>
      <c r="K101" s="49">
        <f t="shared" si="12"/>
        <v>0</v>
      </c>
      <c r="L101" s="60"/>
    </row>
    <row r="102" spans="1:12" x14ac:dyDescent="0.3">
      <c r="A102" s="45"/>
      <c r="B102" s="45"/>
      <c r="C102" s="45" t="s">
        <v>1549</v>
      </c>
      <c r="D102" s="45" t="s">
        <v>1632</v>
      </c>
      <c r="E102" s="61" t="s">
        <v>1494</v>
      </c>
      <c r="F102" s="61"/>
      <c r="G102" s="58"/>
      <c r="H102" s="47">
        <f t="shared" si="6"/>
        <v>0</v>
      </c>
      <c r="I102" s="60"/>
      <c r="J102" s="49">
        <f t="shared" si="13"/>
        <v>0</v>
      </c>
      <c r="K102" s="49">
        <f t="shared" si="12"/>
        <v>0</v>
      </c>
      <c r="L102" s="60"/>
    </row>
    <row r="103" spans="1:12" x14ac:dyDescent="0.3">
      <c r="A103" s="45"/>
      <c r="B103" s="45"/>
      <c r="C103" s="45" t="s">
        <v>1549</v>
      </c>
      <c r="D103" s="45" t="s">
        <v>1633</v>
      </c>
      <c r="E103" s="61" t="s">
        <v>1494</v>
      </c>
      <c r="F103" s="61" t="s">
        <v>1504</v>
      </c>
      <c r="G103" s="58">
        <f>1+1</f>
        <v>2</v>
      </c>
      <c r="H103" s="47">
        <f t="shared" si="6"/>
        <v>2</v>
      </c>
      <c r="I103" s="60"/>
      <c r="J103" s="49">
        <f t="shared" si="13"/>
        <v>0</v>
      </c>
      <c r="K103" s="49">
        <f t="shared" si="12"/>
        <v>2</v>
      </c>
      <c r="L103" s="60"/>
    </row>
    <row r="104" spans="1:12" x14ac:dyDescent="0.3">
      <c r="A104" s="45"/>
      <c r="B104" s="45"/>
      <c r="C104" s="45" t="s">
        <v>1549</v>
      </c>
      <c r="D104" s="45" t="s">
        <v>1634</v>
      </c>
      <c r="E104" s="61" t="s">
        <v>1494</v>
      </c>
      <c r="F104" s="61"/>
      <c r="G104" s="58"/>
      <c r="H104" s="47">
        <f t="shared" si="6"/>
        <v>0</v>
      </c>
      <c r="I104" s="60"/>
      <c r="J104" s="49">
        <f t="shared" si="13"/>
        <v>0</v>
      </c>
      <c r="K104" s="49">
        <f t="shared" si="12"/>
        <v>0</v>
      </c>
      <c r="L104" s="60"/>
    </row>
    <row r="105" spans="1:12" x14ac:dyDescent="0.3">
      <c r="A105" s="45"/>
      <c r="B105" s="45"/>
      <c r="C105" s="45" t="s">
        <v>1549</v>
      </c>
      <c r="D105" s="45" t="s">
        <v>1635</v>
      </c>
      <c r="E105" s="61" t="s">
        <v>1494</v>
      </c>
      <c r="F105" s="61"/>
      <c r="G105" s="58"/>
      <c r="H105" s="47">
        <f t="shared" si="6"/>
        <v>0</v>
      </c>
      <c r="I105" s="60"/>
      <c r="J105" s="49">
        <f t="shared" si="13"/>
        <v>0</v>
      </c>
      <c r="K105" s="49">
        <f t="shared" si="12"/>
        <v>0</v>
      </c>
      <c r="L105" s="60"/>
    </row>
    <row r="106" spans="1:12" x14ac:dyDescent="0.3">
      <c r="A106" s="45"/>
      <c r="B106" s="45"/>
      <c r="C106" s="45" t="s">
        <v>1558</v>
      </c>
      <c r="D106" s="45" t="s">
        <v>1522</v>
      </c>
      <c r="E106" s="61" t="s">
        <v>1494</v>
      </c>
      <c r="F106" s="61"/>
      <c r="G106" s="58"/>
      <c r="H106" s="47">
        <f t="shared" si="6"/>
        <v>0</v>
      </c>
      <c r="I106" s="60"/>
      <c r="J106" s="49">
        <f t="shared" si="13"/>
        <v>0</v>
      </c>
      <c r="K106" s="49">
        <f t="shared" si="12"/>
        <v>0</v>
      </c>
      <c r="L106" s="60"/>
    </row>
    <row r="107" spans="1:12" x14ac:dyDescent="0.3">
      <c r="A107" s="45"/>
      <c r="B107" s="45"/>
      <c r="C107" s="45" t="s">
        <v>1636</v>
      </c>
      <c r="D107" s="45" t="s">
        <v>1637</v>
      </c>
      <c r="E107" s="61" t="s">
        <v>1494</v>
      </c>
      <c r="F107" s="61"/>
      <c r="G107" s="58"/>
      <c r="H107" s="47">
        <f t="shared" si="6"/>
        <v>0</v>
      </c>
      <c r="I107" s="60"/>
      <c r="J107" s="49">
        <f t="shared" si="13"/>
        <v>0</v>
      </c>
      <c r="K107" s="49">
        <f t="shared" si="12"/>
        <v>0</v>
      </c>
      <c r="L107" s="60"/>
    </row>
    <row r="108" spans="1:12" x14ac:dyDescent="0.3">
      <c r="A108" s="45"/>
      <c r="B108" s="45"/>
      <c r="C108" s="45" t="s">
        <v>1636</v>
      </c>
      <c r="D108" s="45" t="s">
        <v>1503</v>
      </c>
      <c r="E108" s="57" t="s">
        <v>1494</v>
      </c>
      <c r="F108" s="57"/>
      <c r="G108" s="58"/>
      <c r="H108" s="47">
        <f t="shared" si="6"/>
        <v>0</v>
      </c>
      <c r="I108" s="60"/>
      <c r="J108" s="49">
        <f t="shared" si="13"/>
        <v>0</v>
      </c>
      <c r="K108" s="49">
        <f t="shared" si="12"/>
        <v>0</v>
      </c>
      <c r="L108" s="59"/>
    </row>
    <row r="109" spans="1:12" x14ac:dyDescent="0.3">
      <c r="A109" s="45"/>
      <c r="B109" s="45"/>
      <c r="C109" s="45" t="s">
        <v>1558</v>
      </c>
      <c r="D109" s="45" t="s">
        <v>1506</v>
      </c>
      <c r="E109" s="57" t="s">
        <v>1494</v>
      </c>
      <c r="F109" s="57" t="s">
        <v>1504</v>
      </c>
      <c r="G109" s="58">
        <f>1+1</f>
        <v>2</v>
      </c>
      <c r="H109" s="47">
        <f t="shared" si="6"/>
        <v>2</v>
      </c>
      <c r="I109" s="60"/>
      <c r="J109" s="49">
        <f t="shared" si="13"/>
        <v>0</v>
      </c>
      <c r="K109" s="49">
        <f t="shared" si="12"/>
        <v>2</v>
      </c>
      <c r="L109" s="59"/>
    </row>
    <row r="110" spans="1:12" x14ac:dyDescent="0.3">
      <c r="A110" s="45"/>
      <c r="B110" s="45"/>
      <c r="C110" s="45" t="s">
        <v>1559</v>
      </c>
      <c r="D110" s="45" t="s">
        <v>1560</v>
      </c>
      <c r="E110" s="57" t="s">
        <v>1561</v>
      </c>
      <c r="F110" s="57" t="s">
        <v>1639</v>
      </c>
      <c r="G110" s="58">
        <f>(2)*2</f>
        <v>4</v>
      </c>
      <c r="H110" s="47">
        <f t="shared" si="6"/>
        <v>4</v>
      </c>
      <c r="I110" s="64"/>
      <c r="J110" s="49">
        <f t="shared" si="13"/>
        <v>0</v>
      </c>
      <c r="K110" s="49">
        <f t="shared" si="12"/>
        <v>4</v>
      </c>
      <c r="L110" s="59"/>
    </row>
    <row r="111" spans="1:12" ht="17.45" customHeight="1" x14ac:dyDescent="0.3">
      <c r="A111" s="45"/>
      <c r="B111" s="45"/>
      <c r="C111" s="45" t="s">
        <v>1563</v>
      </c>
      <c r="D111" s="45" t="s">
        <v>1564</v>
      </c>
      <c r="E111" s="57" t="s">
        <v>1494</v>
      </c>
      <c r="F111" s="57" t="s">
        <v>1640</v>
      </c>
      <c r="G111" s="58">
        <f>(0.153*4.8)</f>
        <v>0.73439999999999994</v>
      </c>
      <c r="H111" s="47">
        <f t="shared" si="6"/>
        <v>0.73439999999999994</v>
      </c>
      <c r="I111" s="48">
        <v>0.1</v>
      </c>
      <c r="J111" s="49">
        <f t="shared" si="13"/>
        <v>0.1</v>
      </c>
      <c r="K111" s="49">
        <f t="shared" si="12"/>
        <v>1</v>
      </c>
      <c r="L111" s="59"/>
    </row>
    <row r="112" spans="1:12" x14ac:dyDescent="0.3">
      <c r="A112" s="45"/>
      <c r="B112" s="45"/>
      <c r="C112" s="45" t="s">
        <v>1566</v>
      </c>
      <c r="D112" s="45" t="s">
        <v>1567</v>
      </c>
      <c r="E112" s="61" t="s">
        <v>1568</v>
      </c>
      <c r="F112" s="61" t="s">
        <v>1641</v>
      </c>
      <c r="G112" s="58">
        <f>(1.55+1.55+0.3)*2</f>
        <v>6.8</v>
      </c>
      <c r="H112" s="47">
        <f t="shared" si="6"/>
        <v>6.8</v>
      </c>
      <c r="I112" s="48">
        <v>0.1</v>
      </c>
      <c r="J112" s="49">
        <f t="shared" si="13"/>
        <v>0.7</v>
      </c>
      <c r="K112" s="49">
        <f t="shared" si="12"/>
        <v>8</v>
      </c>
      <c r="L112" s="60"/>
    </row>
    <row r="113" spans="1:12" x14ac:dyDescent="0.3">
      <c r="A113" s="45"/>
      <c r="B113" s="45"/>
      <c r="C113" s="45" t="s">
        <v>1570</v>
      </c>
      <c r="D113" s="45" t="s">
        <v>1571</v>
      </c>
      <c r="E113" s="61" t="s">
        <v>1572</v>
      </c>
      <c r="F113" s="61" t="s">
        <v>1642</v>
      </c>
      <c r="G113" s="75">
        <f>6.8/1000</f>
        <v>6.7999999999999996E-3</v>
      </c>
      <c r="H113" s="76">
        <f t="shared" si="6"/>
        <v>6.7999999999999996E-3</v>
      </c>
      <c r="I113" s="60"/>
      <c r="J113" s="49">
        <f t="shared" si="13"/>
        <v>0</v>
      </c>
      <c r="K113" s="77">
        <f t="shared" ref="K113" si="14">H113+J113</f>
        <v>6.7999999999999996E-3</v>
      </c>
      <c r="L113" s="60"/>
    </row>
    <row r="114" spans="1:12" x14ac:dyDescent="0.3">
      <c r="A114" s="45"/>
      <c r="B114" s="45"/>
      <c r="C114" s="45" t="s">
        <v>1575</v>
      </c>
      <c r="D114" s="45" t="s">
        <v>1576</v>
      </c>
      <c r="E114" s="61" t="s">
        <v>1494</v>
      </c>
      <c r="F114" s="61" t="s">
        <v>1643</v>
      </c>
      <c r="G114" s="58">
        <f>4</f>
        <v>4</v>
      </c>
      <c r="H114" s="47">
        <f t="shared" si="6"/>
        <v>4</v>
      </c>
      <c r="I114" s="62"/>
      <c r="J114" s="49">
        <f t="shared" si="13"/>
        <v>0</v>
      </c>
      <c r="K114" s="49">
        <f t="shared" si="12"/>
        <v>4</v>
      </c>
      <c r="L114" s="60"/>
    </row>
    <row r="115" spans="1:12" x14ac:dyDescent="0.3">
      <c r="A115" s="45"/>
      <c r="B115" s="45"/>
      <c r="C115" s="45" t="s">
        <v>1578</v>
      </c>
      <c r="D115" s="45" t="s">
        <v>1579</v>
      </c>
      <c r="E115" s="57" t="s">
        <v>1494</v>
      </c>
      <c r="F115" s="57" t="s">
        <v>1644</v>
      </c>
      <c r="G115" s="70">
        <f>4*4</f>
        <v>16</v>
      </c>
      <c r="H115" s="47">
        <f t="shared" si="6"/>
        <v>16</v>
      </c>
      <c r="I115" s="48">
        <v>0.1</v>
      </c>
      <c r="J115" s="49">
        <f t="shared" si="13"/>
        <v>1.6</v>
      </c>
      <c r="K115" s="49">
        <f t="shared" si="12"/>
        <v>18</v>
      </c>
      <c r="L115" s="59"/>
    </row>
    <row r="116" spans="1:12" x14ac:dyDescent="0.3">
      <c r="A116" s="45"/>
      <c r="B116" s="45"/>
      <c r="C116" s="51" t="s">
        <v>1581</v>
      </c>
      <c r="D116" s="51" t="s">
        <v>1582</v>
      </c>
      <c r="E116" s="71" t="s">
        <v>1561</v>
      </c>
      <c r="F116" s="71"/>
      <c r="G116" s="72"/>
      <c r="H116" s="53">
        <f t="shared" si="6"/>
        <v>0</v>
      </c>
      <c r="I116" s="54"/>
      <c r="J116" s="55">
        <f t="shared" si="13"/>
        <v>0</v>
      </c>
      <c r="K116" s="55">
        <f t="shared" si="12"/>
        <v>0</v>
      </c>
      <c r="L116" s="73"/>
    </row>
    <row r="117" spans="1:12" x14ac:dyDescent="0.3">
      <c r="A117" s="45"/>
      <c r="B117" s="45"/>
      <c r="C117" s="51" t="s">
        <v>1581</v>
      </c>
      <c r="D117" s="51" t="s">
        <v>1583</v>
      </c>
      <c r="E117" s="71" t="s">
        <v>1561</v>
      </c>
      <c r="F117" s="71"/>
      <c r="G117" s="72"/>
      <c r="H117" s="53">
        <f t="shared" si="6"/>
        <v>0</v>
      </c>
      <c r="I117" s="54"/>
      <c r="J117" s="55">
        <f t="shared" si="13"/>
        <v>0</v>
      </c>
      <c r="K117" s="55">
        <f t="shared" si="12"/>
        <v>0</v>
      </c>
      <c r="L117" s="73"/>
    </row>
    <row r="118" spans="1:12" x14ac:dyDescent="0.3">
      <c r="A118" s="45"/>
      <c r="B118" s="45"/>
      <c r="C118" s="51" t="s">
        <v>1581</v>
      </c>
      <c r="D118" s="51" t="s">
        <v>1584</v>
      </c>
      <c r="E118" s="71" t="s">
        <v>1561</v>
      </c>
      <c r="F118" s="71"/>
      <c r="G118" s="72"/>
      <c r="H118" s="53">
        <f t="shared" si="6"/>
        <v>0</v>
      </c>
      <c r="I118" s="54"/>
      <c r="J118" s="55">
        <f t="shared" si="13"/>
        <v>0</v>
      </c>
      <c r="K118" s="55">
        <f t="shared" si="12"/>
        <v>0</v>
      </c>
      <c r="L118" s="73"/>
    </row>
    <row r="119" spans="1:12" x14ac:dyDescent="0.3">
      <c r="A119" s="45"/>
      <c r="B119" s="45"/>
      <c r="C119" s="51" t="s">
        <v>1581</v>
      </c>
      <c r="D119" s="51" t="s">
        <v>1646</v>
      </c>
      <c r="E119" s="71" t="s">
        <v>1561</v>
      </c>
      <c r="F119" s="71">
        <v>1</v>
      </c>
      <c r="G119" s="72">
        <f>1</f>
        <v>1</v>
      </c>
      <c r="H119" s="53">
        <f t="shared" si="6"/>
        <v>1</v>
      </c>
      <c r="I119" s="54"/>
      <c r="J119" s="55">
        <f t="shared" si="13"/>
        <v>0</v>
      </c>
      <c r="K119" s="55">
        <f t="shared" si="12"/>
        <v>1</v>
      </c>
      <c r="L119" s="73"/>
    </row>
    <row r="120" spans="1:12" x14ac:dyDescent="0.3">
      <c r="A120" s="45"/>
      <c r="B120" s="45"/>
      <c r="C120" s="51" t="s">
        <v>1647</v>
      </c>
      <c r="D120" s="51" t="s">
        <v>1588</v>
      </c>
      <c r="E120" s="71" t="s">
        <v>1648</v>
      </c>
      <c r="F120" s="71" t="s">
        <v>1504</v>
      </c>
      <c r="G120" s="72">
        <f>1+1</f>
        <v>2</v>
      </c>
      <c r="H120" s="53">
        <f t="shared" si="6"/>
        <v>2</v>
      </c>
      <c r="I120" s="54"/>
      <c r="J120" s="55">
        <f t="shared" si="13"/>
        <v>0</v>
      </c>
      <c r="K120" s="55">
        <f t="shared" si="12"/>
        <v>2</v>
      </c>
      <c r="L120" s="73"/>
    </row>
    <row r="121" spans="1:12" x14ac:dyDescent="0.3">
      <c r="A121" s="45"/>
      <c r="B121" s="45"/>
      <c r="C121" s="45" t="s">
        <v>1590</v>
      </c>
      <c r="D121" s="45" t="s">
        <v>1591</v>
      </c>
      <c r="E121" s="45" t="s">
        <v>1649</v>
      </c>
      <c r="F121" s="45" t="s">
        <v>1650</v>
      </c>
      <c r="G121" s="46">
        <f>((60*20)*2)+((40*20)*2)</f>
        <v>4000</v>
      </c>
      <c r="H121" s="47">
        <f>G121</f>
        <v>4000</v>
      </c>
      <c r="I121" s="48">
        <v>0.1</v>
      </c>
      <c r="J121" s="49">
        <f t="shared" si="13"/>
        <v>400</v>
      </c>
      <c r="K121" s="49">
        <f t="shared" si="12"/>
        <v>4400</v>
      </c>
      <c r="L121" s="50"/>
    </row>
    <row r="122" spans="1:12" x14ac:dyDescent="0.3">
      <c r="A122" s="45"/>
      <c r="B122" s="45"/>
      <c r="C122" s="45" t="s">
        <v>1595</v>
      </c>
      <c r="D122" s="45" t="s">
        <v>1596</v>
      </c>
      <c r="E122" s="57" t="s">
        <v>1597</v>
      </c>
      <c r="F122" s="57">
        <v>1</v>
      </c>
      <c r="G122" s="58">
        <f>1</f>
        <v>1</v>
      </c>
      <c r="H122" s="47">
        <f t="shared" ref="H122:H184" si="15">G122</f>
        <v>1</v>
      </c>
      <c r="I122" s="48"/>
      <c r="J122" s="49">
        <f t="shared" si="13"/>
        <v>0</v>
      </c>
      <c r="K122" s="49">
        <f t="shared" si="12"/>
        <v>1</v>
      </c>
      <c r="L122" s="59"/>
    </row>
    <row r="123" spans="1:12" x14ac:dyDescent="0.3">
      <c r="A123" s="45"/>
      <c r="B123" s="45"/>
      <c r="C123" s="45" t="s">
        <v>1651</v>
      </c>
      <c r="D123" s="45" t="s">
        <v>1602</v>
      </c>
      <c r="E123" s="57" t="s">
        <v>1652</v>
      </c>
      <c r="F123" s="57" t="s">
        <v>1653</v>
      </c>
      <c r="G123" s="58">
        <f>0.6+3.5+3+4+3.5</f>
        <v>14.6</v>
      </c>
      <c r="H123" s="47">
        <f t="shared" si="15"/>
        <v>14.6</v>
      </c>
      <c r="I123" s="48">
        <v>0.1</v>
      </c>
      <c r="J123" s="49">
        <f t="shared" si="13"/>
        <v>1.5</v>
      </c>
      <c r="K123" s="49">
        <f t="shared" si="12"/>
        <v>17</v>
      </c>
      <c r="L123" s="59"/>
    </row>
    <row r="124" spans="1:12" x14ac:dyDescent="0.3">
      <c r="A124" s="45"/>
      <c r="B124" s="45"/>
      <c r="C124" s="45" t="s">
        <v>1601</v>
      </c>
      <c r="D124" s="45" t="s">
        <v>1602</v>
      </c>
      <c r="E124" s="57" t="s">
        <v>1494</v>
      </c>
      <c r="F124" s="57">
        <v>1</v>
      </c>
      <c r="G124" s="58">
        <f>1</f>
        <v>1</v>
      </c>
      <c r="H124" s="47">
        <f t="shared" si="15"/>
        <v>1</v>
      </c>
      <c r="I124" s="60"/>
      <c r="J124" s="49">
        <f>ROUND((H124*I124),1)</f>
        <v>0</v>
      </c>
      <c r="K124" s="49">
        <f t="shared" si="12"/>
        <v>1</v>
      </c>
      <c r="L124" s="59"/>
    </row>
    <row r="125" spans="1:12" x14ac:dyDescent="0.3">
      <c r="A125" s="45"/>
      <c r="B125" s="45"/>
      <c r="C125" s="45" t="s">
        <v>1655</v>
      </c>
      <c r="D125" s="45" t="s">
        <v>1602</v>
      </c>
      <c r="E125" s="61" t="s">
        <v>1605</v>
      </c>
      <c r="F125" s="61">
        <v>1</v>
      </c>
      <c r="G125" s="58">
        <f>1</f>
        <v>1</v>
      </c>
      <c r="H125" s="47">
        <f t="shared" si="15"/>
        <v>1</v>
      </c>
      <c r="I125" s="60"/>
      <c r="J125" s="49">
        <f t="shared" ref="J125:J132" si="16">ROUND((H125*I125),1)</f>
        <v>0</v>
      </c>
      <c r="K125" s="49">
        <f t="shared" si="12"/>
        <v>1</v>
      </c>
      <c r="L125" s="60"/>
    </row>
    <row r="126" spans="1:12" x14ac:dyDescent="0.3">
      <c r="A126" s="45"/>
      <c r="B126" s="45"/>
      <c r="C126" s="45" t="s">
        <v>1656</v>
      </c>
      <c r="D126" s="45" t="s">
        <v>1602</v>
      </c>
      <c r="E126" s="61" t="s">
        <v>1605</v>
      </c>
      <c r="F126" s="61">
        <v>1</v>
      </c>
      <c r="G126" s="58">
        <f>1</f>
        <v>1</v>
      </c>
      <c r="H126" s="47">
        <f t="shared" si="15"/>
        <v>1</v>
      </c>
      <c r="I126" s="62"/>
      <c r="J126" s="49">
        <f t="shared" si="16"/>
        <v>0</v>
      </c>
      <c r="K126" s="49">
        <f t="shared" si="12"/>
        <v>1</v>
      </c>
      <c r="L126" s="60"/>
    </row>
    <row r="127" spans="1:12" x14ac:dyDescent="0.3">
      <c r="A127" s="45"/>
      <c r="B127" s="45"/>
      <c r="C127" s="45" t="s">
        <v>1657</v>
      </c>
      <c r="D127" s="45" t="s">
        <v>1658</v>
      </c>
      <c r="E127" s="57" t="s">
        <v>1605</v>
      </c>
      <c r="F127" s="57">
        <v>1</v>
      </c>
      <c r="G127" s="58">
        <f>1</f>
        <v>1</v>
      </c>
      <c r="H127" s="47">
        <f t="shared" si="15"/>
        <v>1</v>
      </c>
      <c r="I127" s="64"/>
      <c r="J127" s="49">
        <f t="shared" si="16"/>
        <v>0</v>
      </c>
      <c r="K127" s="49">
        <f t="shared" si="12"/>
        <v>1</v>
      </c>
      <c r="L127" s="59"/>
    </row>
    <row r="128" spans="1:12" x14ac:dyDescent="0.3">
      <c r="A128" s="45"/>
      <c r="B128" s="45"/>
      <c r="C128" s="45" t="s">
        <v>1659</v>
      </c>
      <c r="D128" s="45" t="s">
        <v>1610</v>
      </c>
      <c r="E128" s="57" t="s">
        <v>1605</v>
      </c>
      <c r="F128" s="57">
        <v>1</v>
      </c>
      <c r="G128" s="58">
        <f>1</f>
        <v>1</v>
      </c>
      <c r="H128" s="47">
        <f t="shared" si="15"/>
        <v>1</v>
      </c>
      <c r="I128" s="64"/>
      <c r="J128" s="49">
        <f t="shared" si="16"/>
        <v>0</v>
      </c>
      <c r="K128" s="49">
        <f t="shared" si="12"/>
        <v>1</v>
      </c>
      <c r="L128" s="59"/>
    </row>
    <row r="129" spans="1:12" x14ac:dyDescent="0.3">
      <c r="A129" s="45"/>
      <c r="B129" s="45"/>
      <c r="C129" s="45" t="s">
        <v>1611</v>
      </c>
      <c r="D129" s="45" t="s">
        <v>1612</v>
      </c>
      <c r="E129" s="57" t="s">
        <v>1605</v>
      </c>
      <c r="F129" s="57">
        <v>1</v>
      </c>
      <c r="G129" s="58">
        <f>1</f>
        <v>1</v>
      </c>
      <c r="H129" s="47">
        <f t="shared" si="15"/>
        <v>1</v>
      </c>
      <c r="I129" s="60"/>
      <c r="J129" s="49">
        <f t="shared" si="16"/>
        <v>0</v>
      </c>
      <c r="K129" s="49">
        <f t="shared" si="12"/>
        <v>1</v>
      </c>
      <c r="L129" s="59"/>
    </row>
    <row r="130" spans="1:12" x14ac:dyDescent="0.3">
      <c r="A130" s="45"/>
      <c r="B130" s="45"/>
      <c r="C130" s="45" t="s">
        <v>1613</v>
      </c>
      <c r="D130" s="45" t="s">
        <v>1614</v>
      </c>
      <c r="E130" s="57" t="s">
        <v>1660</v>
      </c>
      <c r="F130" s="63" t="s">
        <v>1661</v>
      </c>
      <c r="G130" s="58">
        <f>3.5</f>
        <v>3.5</v>
      </c>
      <c r="H130" s="47">
        <f t="shared" si="15"/>
        <v>3.5</v>
      </c>
      <c r="I130" s="60"/>
      <c r="J130" s="49">
        <f t="shared" si="16"/>
        <v>0</v>
      </c>
      <c r="K130" s="49">
        <f t="shared" si="12"/>
        <v>4</v>
      </c>
      <c r="L130" s="59"/>
    </row>
    <row r="131" spans="1:12" x14ac:dyDescent="0.3">
      <c r="A131" s="45"/>
      <c r="B131" s="45"/>
      <c r="C131" s="45" t="s">
        <v>1662</v>
      </c>
      <c r="D131" s="45" t="s">
        <v>1614</v>
      </c>
      <c r="E131" s="61" t="s">
        <v>1494</v>
      </c>
      <c r="F131" s="61" t="s">
        <v>1606</v>
      </c>
      <c r="G131" s="58">
        <f>1+1</f>
        <v>2</v>
      </c>
      <c r="H131" s="47">
        <f t="shared" si="15"/>
        <v>2</v>
      </c>
      <c r="I131" s="60"/>
      <c r="J131" s="49">
        <f t="shared" si="16"/>
        <v>0</v>
      </c>
      <c r="K131" s="49">
        <f t="shared" si="12"/>
        <v>2</v>
      </c>
      <c r="L131" s="60"/>
    </row>
    <row r="132" spans="1:12" x14ac:dyDescent="0.3">
      <c r="A132" s="45"/>
      <c r="B132" s="45"/>
      <c r="C132" s="45" t="s">
        <v>1663</v>
      </c>
      <c r="D132" s="45" t="s">
        <v>1617</v>
      </c>
      <c r="E132" s="61" t="s">
        <v>1494</v>
      </c>
      <c r="F132" s="61">
        <v>1</v>
      </c>
      <c r="G132" s="58">
        <f>1</f>
        <v>1</v>
      </c>
      <c r="H132" s="47">
        <f t="shared" si="15"/>
        <v>1</v>
      </c>
      <c r="I132" s="60"/>
      <c r="J132" s="49">
        <f t="shared" si="16"/>
        <v>0</v>
      </c>
      <c r="K132" s="49">
        <f t="shared" si="12"/>
        <v>1</v>
      </c>
      <c r="L132" s="60"/>
    </row>
    <row r="133" spans="1:12" x14ac:dyDescent="0.3">
      <c r="A133" s="44" t="s">
        <v>1664</v>
      </c>
      <c r="B133" s="44" t="s">
        <v>1664</v>
      </c>
      <c r="C133" s="45" t="s">
        <v>1481</v>
      </c>
      <c r="D133" s="45" t="s">
        <v>1620</v>
      </c>
      <c r="E133" s="45" t="s">
        <v>1486</v>
      </c>
      <c r="F133" s="45"/>
      <c r="G133" s="46"/>
      <c r="H133" s="47">
        <f t="shared" si="15"/>
        <v>0</v>
      </c>
      <c r="I133" s="48"/>
      <c r="J133" s="49">
        <f>ROUND((H133*I133),1)</f>
        <v>0</v>
      </c>
      <c r="K133" s="49">
        <f t="shared" si="12"/>
        <v>0</v>
      </c>
      <c r="L133" s="50"/>
    </row>
    <row r="134" spans="1:12" x14ac:dyDescent="0.3">
      <c r="A134" s="45"/>
      <c r="B134" s="45"/>
      <c r="C134" s="45" t="s">
        <v>1484</v>
      </c>
      <c r="D134" s="45" t="s">
        <v>1485</v>
      </c>
      <c r="E134" s="45" t="s">
        <v>1486</v>
      </c>
      <c r="F134" s="45"/>
      <c r="G134" s="46"/>
      <c r="H134" s="47">
        <f t="shared" si="15"/>
        <v>0</v>
      </c>
      <c r="I134" s="48"/>
      <c r="J134" s="49">
        <f>ROUND((H134*I134),1)</f>
        <v>0</v>
      </c>
      <c r="K134" s="49">
        <f t="shared" si="12"/>
        <v>0</v>
      </c>
      <c r="L134" s="50"/>
    </row>
    <row r="135" spans="1:12" x14ac:dyDescent="0.3">
      <c r="A135" s="45"/>
      <c r="B135" s="45"/>
      <c r="C135" s="45" t="s">
        <v>1484</v>
      </c>
      <c r="D135" s="45" t="s">
        <v>1665</v>
      </c>
      <c r="E135" s="45" t="s">
        <v>1486</v>
      </c>
      <c r="F135" s="45">
        <v>1</v>
      </c>
      <c r="G135" s="46">
        <f>1</f>
        <v>1</v>
      </c>
      <c r="H135" s="47">
        <f t="shared" si="15"/>
        <v>1</v>
      </c>
      <c r="I135" s="48"/>
      <c r="J135" s="49">
        <f t="shared" ref="J135:J160" si="17">ROUND((H135*I135),1)</f>
        <v>0</v>
      </c>
      <c r="K135" s="49">
        <f t="shared" si="12"/>
        <v>1</v>
      </c>
      <c r="L135" s="50"/>
    </row>
    <row r="136" spans="1:12" x14ac:dyDescent="0.3">
      <c r="A136" s="45"/>
      <c r="B136" s="45"/>
      <c r="C136" s="45" t="s">
        <v>1484</v>
      </c>
      <c r="D136" s="45" t="s">
        <v>1489</v>
      </c>
      <c r="E136" s="45" t="s">
        <v>1486</v>
      </c>
      <c r="F136" s="45"/>
      <c r="G136" s="46"/>
      <c r="H136" s="47">
        <f t="shared" si="15"/>
        <v>0</v>
      </c>
      <c r="I136" s="48"/>
      <c r="J136" s="49">
        <f t="shared" si="17"/>
        <v>0</v>
      </c>
      <c r="K136" s="49">
        <f t="shared" si="12"/>
        <v>0</v>
      </c>
      <c r="L136" s="50"/>
    </row>
    <row r="137" spans="1:12" x14ac:dyDescent="0.3">
      <c r="A137" s="45"/>
      <c r="B137" s="45"/>
      <c r="C137" s="45" t="s">
        <v>1484</v>
      </c>
      <c r="D137" s="45" t="s">
        <v>1490</v>
      </c>
      <c r="E137" s="45" t="s">
        <v>1486</v>
      </c>
      <c r="F137" s="45"/>
      <c r="G137" s="46"/>
      <c r="H137" s="47">
        <f t="shared" si="15"/>
        <v>0</v>
      </c>
      <c r="I137" s="48"/>
      <c r="J137" s="49">
        <f t="shared" si="17"/>
        <v>0</v>
      </c>
      <c r="K137" s="49">
        <f t="shared" si="12"/>
        <v>0</v>
      </c>
      <c r="L137" s="50"/>
    </row>
    <row r="138" spans="1:12" x14ac:dyDescent="0.3">
      <c r="A138" s="45"/>
      <c r="B138" s="45"/>
      <c r="C138" s="45" t="s">
        <v>1491</v>
      </c>
      <c r="D138" s="45" t="s">
        <v>1492</v>
      </c>
      <c r="E138" s="45" t="s">
        <v>1494</v>
      </c>
      <c r="F138" s="45">
        <v>1</v>
      </c>
      <c r="G138" s="46">
        <f>1</f>
        <v>1</v>
      </c>
      <c r="H138" s="47">
        <f t="shared" si="15"/>
        <v>1</v>
      </c>
      <c r="I138" s="48"/>
      <c r="J138" s="49">
        <f t="shared" si="17"/>
        <v>0</v>
      </c>
      <c r="K138" s="49">
        <f t="shared" si="12"/>
        <v>1</v>
      </c>
      <c r="L138" s="50"/>
    </row>
    <row r="139" spans="1:12" x14ac:dyDescent="0.3">
      <c r="A139" s="45"/>
      <c r="B139" s="45"/>
      <c r="C139" s="51" t="s">
        <v>1495</v>
      </c>
      <c r="D139" s="51" t="s">
        <v>1496</v>
      </c>
      <c r="E139" s="51" t="s">
        <v>1494</v>
      </c>
      <c r="F139" s="51">
        <v>1</v>
      </c>
      <c r="G139" s="52">
        <f>1</f>
        <v>1</v>
      </c>
      <c r="H139" s="53">
        <f t="shared" si="15"/>
        <v>1</v>
      </c>
      <c r="I139" s="54"/>
      <c r="J139" s="55">
        <f t="shared" si="17"/>
        <v>0</v>
      </c>
      <c r="K139" s="55">
        <f t="shared" si="12"/>
        <v>1</v>
      </c>
      <c r="L139" s="56" t="s">
        <v>1666</v>
      </c>
    </row>
    <row r="140" spans="1:12" x14ac:dyDescent="0.3">
      <c r="A140" s="45"/>
      <c r="B140" s="45"/>
      <c r="C140" s="45" t="s">
        <v>1499</v>
      </c>
      <c r="D140" s="45" t="s">
        <v>1500</v>
      </c>
      <c r="E140" s="45" t="s">
        <v>1494</v>
      </c>
      <c r="F140" s="45">
        <v>1</v>
      </c>
      <c r="G140" s="46">
        <f>1</f>
        <v>1</v>
      </c>
      <c r="H140" s="47">
        <f t="shared" si="15"/>
        <v>1</v>
      </c>
      <c r="I140" s="48"/>
      <c r="J140" s="49">
        <f t="shared" si="17"/>
        <v>0</v>
      </c>
      <c r="K140" s="49">
        <f t="shared" si="12"/>
        <v>1</v>
      </c>
      <c r="L140" s="50"/>
    </row>
    <row r="141" spans="1:12" x14ac:dyDescent="0.3">
      <c r="A141" s="45"/>
      <c r="B141" s="45"/>
      <c r="C141" s="45" t="s">
        <v>1667</v>
      </c>
      <c r="D141" s="45" t="s">
        <v>1501</v>
      </c>
      <c r="E141" s="45" t="s">
        <v>1494</v>
      </c>
      <c r="F141" s="45"/>
      <c r="G141" s="46"/>
      <c r="H141" s="47">
        <f t="shared" si="15"/>
        <v>0</v>
      </c>
      <c r="I141" s="48"/>
      <c r="J141" s="49">
        <f t="shared" si="17"/>
        <v>0</v>
      </c>
      <c r="K141" s="49">
        <f t="shared" si="12"/>
        <v>0</v>
      </c>
      <c r="L141" s="50"/>
    </row>
    <row r="142" spans="1:12" x14ac:dyDescent="0.3">
      <c r="A142" s="45"/>
      <c r="B142" s="45"/>
      <c r="C142" s="45" t="s">
        <v>1668</v>
      </c>
      <c r="D142" s="45" t="s">
        <v>1503</v>
      </c>
      <c r="E142" s="57" t="s">
        <v>1494</v>
      </c>
      <c r="F142" s="57">
        <v>1</v>
      </c>
      <c r="G142" s="58">
        <f>1</f>
        <v>1</v>
      </c>
      <c r="H142" s="47">
        <f t="shared" si="15"/>
        <v>1</v>
      </c>
      <c r="I142" s="48"/>
      <c r="J142" s="49">
        <f t="shared" si="17"/>
        <v>0</v>
      </c>
      <c r="K142" s="49">
        <f t="shared" si="12"/>
        <v>1</v>
      </c>
      <c r="L142" s="59"/>
    </row>
    <row r="143" spans="1:12" x14ac:dyDescent="0.3">
      <c r="A143" s="45"/>
      <c r="B143" s="45"/>
      <c r="C143" s="45" t="s">
        <v>1505</v>
      </c>
      <c r="D143" s="45" t="s">
        <v>1503</v>
      </c>
      <c r="E143" s="57" t="s">
        <v>1494</v>
      </c>
      <c r="F143" s="57"/>
      <c r="G143" s="58"/>
      <c r="H143" s="47">
        <f t="shared" si="15"/>
        <v>0</v>
      </c>
      <c r="I143" s="48"/>
      <c r="J143" s="49">
        <f t="shared" si="17"/>
        <v>0</v>
      </c>
      <c r="K143" s="49">
        <f t="shared" si="12"/>
        <v>0</v>
      </c>
      <c r="L143" s="59"/>
    </row>
    <row r="144" spans="1:12" x14ac:dyDescent="0.3">
      <c r="A144" s="45"/>
      <c r="B144" s="45"/>
      <c r="C144" s="45" t="s">
        <v>1668</v>
      </c>
      <c r="D144" s="45" t="s">
        <v>1506</v>
      </c>
      <c r="E144" s="57" t="s">
        <v>1494</v>
      </c>
      <c r="F144" s="57"/>
      <c r="G144" s="58"/>
      <c r="H144" s="47">
        <f t="shared" si="15"/>
        <v>0</v>
      </c>
      <c r="I144" s="48"/>
      <c r="J144" s="49">
        <f t="shared" si="17"/>
        <v>0</v>
      </c>
      <c r="K144" s="49">
        <f t="shared" si="12"/>
        <v>0</v>
      </c>
      <c r="L144" s="59"/>
    </row>
    <row r="145" spans="1:12" x14ac:dyDescent="0.3">
      <c r="A145" s="45"/>
      <c r="B145" s="45"/>
      <c r="C145" s="45" t="s">
        <v>1505</v>
      </c>
      <c r="D145" s="45" t="s">
        <v>1506</v>
      </c>
      <c r="E145" s="57" t="s">
        <v>1494</v>
      </c>
      <c r="F145" s="57"/>
      <c r="G145" s="58"/>
      <c r="H145" s="47">
        <f t="shared" si="15"/>
        <v>0</v>
      </c>
      <c r="I145" s="48"/>
      <c r="J145" s="49">
        <f t="shared" si="17"/>
        <v>0</v>
      </c>
      <c r="K145" s="49">
        <f t="shared" si="12"/>
        <v>0</v>
      </c>
      <c r="L145" s="59"/>
    </row>
    <row r="146" spans="1:12" x14ac:dyDescent="0.3">
      <c r="A146" s="45"/>
      <c r="B146" s="45"/>
      <c r="C146" s="45" t="s">
        <v>1507</v>
      </c>
      <c r="D146" s="45" t="s">
        <v>1508</v>
      </c>
      <c r="E146" s="57" t="s">
        <v>1494</v>
      </c>
      <c r="F146" s="57"/>
      <c r="G146" s="58"/>
      <c r="H146" s="47">
        <f t="shared" si="15"/>
        <v>0</v>
      </c>
      <c r="I146" s="60"/>
      <c r="J146" s="49">
        <f t="shared" si="17"/>
        <v>0</v>
      </c>
      <c r="K146" s="49">
        <f t="shared" si="12"/>
        <v>0</v>
      </c>
      <c r="L146" s="59"/>
    </row>
    <row r="147" spans="1:12" x14ac:dyDescent="0.3">
      <c r="A147" s="45"/>
      <c r="B147" s="45"/>
      <c r="C147" s="45" t="s">
        <v>1507</v>
      </c>
      <c r="D147" s="45" t="s">
        <v>1509</v>
      </c>
      <c r="E147" s="57" t="s">
        <v>1605</v>
      </c>
      <c r="F147" s="57"/>
      <c r="G147" s="58"/>
      <c r="H147" s="47">
        <f t="shared" si="15"/>
        <v>0</v>
      </c>
      <c r="I147" s="60"/>
      <c r="J147" s="49">
        <f t="shared" si="17"/>
        <v>0</v>
      </c>
      <c r="K147" s="49">
        <f t="shared" si="12"/>
        <v>0</v>
      </c>
      <c r="L147" s="59"/>
    </row>
    <row r="148" spans="1:12" x14ac:dyDescent="0.3">
      <c r="A148" s="45"/>
      <c r="B148" s="45"/>
      <c r="C148" s="45" t="s">
        <v>1507</v>
      </c>
      <c r="D148" s="45" t="s">
        <v>1510</v>
      </c>
      <c r="E148" s="57" t="s">
        <v>1494</v>
      </c>
      <c r="F148" s="57">
        <v>1</v>
      </c>
      <c r="G148" s="58">
        <f>1</f>
        <v>1</v>
      </c>
      <c r="H148" s="47">
        <f t="shared" si="15"/>
        <v>1</v>
      </c>
      <c r="I148" s="60"/>
      <c r="J148" s="49">
        <f t="shared" si="17"/>
        <v>0</v>
      </c>
      <c r="K148" s="49">
        <f t="shared" si="12"/>
        <v>1</v>
      </c>
      <c r="L148" s="59"/>
    </row>
    <row r="149" spans="1:12" x14ac:dyDescent="0.3">
      <c r="A149" s="45"/>
      <c r="B149" s="45"/>
      <c r="C149" s="45" t="s">
        <v>1507</v>
      </c>
      <c r="D149" s="45" t="s">
        <v>1623</v>
      </c>
      <c r="E149" s="57" t="s">
        <v>1494</v>
      </c>
      <c r="F149" s="57"/>
      <c r="G149" s="58"/>
      <c r="H149" s="47">
        <f t="shared" si="15"/>
        <v>0</v>
      </c>
      <c r="I149" s="60"/>
      <c r="J149" s="49">
        <f t="shared" si="17"/>
        <v>0</v>
      </c>
      <c r="K149" s="49">
        <f t="shared" si="12"/>
        <v>0</v>
      </c>
      <c r="L149" s="59"/>
    </row>
    <row r="150" spans="1:12" x14ac:dyDescent="0.3">
      <c r="A150" s="45"/>
      <c r="B150" s="45"/>
      <c r="C150" s="45" t="s">
        <v>1514</v>
      </c>
      <c r="D150" s="45" t="s">
        <v>1669</v>
      </c>
      <c r="E150" s="61" t="s">
        <v>1494</v>
      </c>
      <c r="F150" s="61"/>
      <c r="G150" s="58"/>
      <c r="H150" s="47">
        <f t="shared" si="15"/>
        <v>0</v>
      </c>
      <c r="I150" s="62"/>
      <c r="J150" s="49">
        <f t="shared" si="17"/>
        <v>0</v>
      </c>
      <c r="K150" s="49">
        <f t="shared" si="12"/>
        <v>0</v>
      </c>
      <c r="L150" s="60"/>
    </row>
    <row r="151" spans="1:12" x14ac:dyDescent="0.3">
      <c r="A151" s="45"/>
      <c r="B151" s="45"/>
      <c r="C151" s="45" t="s">
        <v>1517</v>
      </c>
      <c r="D151" s="45" t="s">
        <v>1515</v>
      </c>
      <c r="E151" s="61" t="s">
        <v>1494</v>
      </c>
      <c r="F151" s="61"/>
      <c r="G151" s="58"/>
      <c r="H151" s="47">
        <f t="shared" si="15"/>
        <v>0</v>
      </c>
      <c r="I151" s="62"/>
      <c r="J151" s="49">
        <f t="shared" si="17"/>
        <v>0</v>
      </c>
      <c r="K151" s="49">
        <f t="shared" si="12"/>
        <v>0</v>
      </c>
      <c r="L151" s="60"/>
    </row>
    <row r="152" spans="1:12" x14ac:dyDescent="0.3">
      <c r="A152" s="45"/>
      <c r="B152" s="45"/>
      <c r="C152" s="45" t="s">
        <v>1670</v>
      </c>
      <c r="D152" s="45" t="s">
        <v>1515</v>
      </c>
      <c r="E152" s="61" t="s">
        <v>1494</v>
      </c>
      <c r="F152" s="61"/>
      <c r="G152" s="58"/>
      <c r="H152" s="47">
        <f t="shared" si="15"/>
        <v>0</v>
      </c>
      <c r="I152" s="62"/>
      <c r="J152" s="49">
        <f t="shared" si="17"/>
        <v>0</v>
      </c>
      <c r="K152" s="49">
        <f t="shared" si="12"/>
        <v>0</v>
      </c>
      <c r="L152" s="60"/>
    </row>
    <row r="153" spans="1:12" x14ac:dyDescent="0.3">
      <c r="A153" s="45"/>
      <c r="B153" s="45"/>
      <c r="C153" s="45" t="s">
        <v>1521</v>
      </c>
      <c r="D153" s="45" t="s">
        <v>1522</v>
      </c>
      <c r="E153" s="61" t="s">
        <v>74</v>
      </c>
      <c r="F153" s="61"/>
      <c r="G153" s="58"/>
      <c r="H153" s="47">
        <f t="shared" si="15"/>
        <v>0</v>
      </c>
      <c r="I153" s="62">
        <v>0.1</v>
      </c>
      <c r="J153" s="49">
        <f t="shared" si="17"/>
        <v>0</v>
      </c>
      <c r="K153" s="49">
        <f t="shared" si="12"/>
        <v>0</v>
      </c>
      <c r="L153" s="60"/>
    </row>
    <row r="154" spans="1:12" x14ac:dyDescent="0.3">
      <c r="A154" s="45"/>
      <c r="B154" s="45"/>
      <c r="C154" s="45" t="s">
        <v>1521</v>
      </c>
      <c r="D154" s="45" t="s">
        <v>315</v>
      </c>
      <c r="E154" s="57" t="s">
        <v>74</v>
      </c>
      <c r="F154" s="57"/>
      <c r="G154" s="58"/>
      <c r="H154" s="47">
        <f t="shared" si="15"/>
        <v>0</v>
      </c>
      <c r="I154" s="62">
        <v>0.1</v>
      </c>
      <c r="J154" s="49">
        <f t="shared" si="17"/>
        <v>0</v>
      </c>
      <c r="K154" s="49">
        <f t="shared" si="12"/>
        <v>0</v>
      </c>
      <c r="L154" s="59"/>
    </row>
    <row r="155" spans="1:12" x14ac:dyDescent="0.3">
      <c r="A155" s="45"/>
      <c r="B155" s="45"/>
      <c r="C155" s="45" t="s">
        <v>1521</v>
      </c>
      <c r="D155" s="45" t="s">
        <v>265</v>
      </c>
      <c r="E155" s="57" t="s">
        <v>74</v>
      </c>
      <c r="F155" s="57" t="s">
        <v>1671</v>
      </c>
      <c r="G155" s="58">
        <f>0.31+0.3+2.05+3+1.2+0.15</f>
        <v>7.0100000000000007</v>
      </c>
      <c r="H155" s="47">
        <f t="shared" si="15"/>
        <v>7.0100000000000007</v>
      </c>
      <c r="I155" s="62">
        <v>0.1</v>
      </c>
      <c r="J155" s="49">
        <f t="shared" si="17"/>
        <v>0.7</v>
      </c>
      <c r="K155" s="49">
        <f t="shared" si="12"/>
        <v>8</v>
      </c>
      <c r="L155" s="59"/>
    </row>
    <row r="156" spans="1:12" x14ac:dyDescent="0.3">
      <c r="A156" s="45"/>
      <c r="B156" s="45"/>
      <c r="C156" s="45" t="s">
        <v>1672</v>
      </c>
      <c r="D156" s="45" t="s">
        <v>273</v>
      </c>
      <c r="E156" s="57" t="s">
        <v>74</v>
      </c>
      <c r="F156" s="57" t="s">
        <v>1673</v>
      </c>
      <c r="G156" s="58">
        <f>0.3+0.3</f>
        <v>0.6</v>
      </c>
      <c r="H156" s="47">
        <f t="shared" si="15"/>
        <v>0.6</v>
      </c>
      <c r="I156" s="62">
        <v>0.1</v>
      </c>
      <c r="J156" s="49">
        <f t="shared" si="17"/>
        <v>0.1</v>
      </c>
      <c r="K156" s="49">
        <f t="shared" si="12"/>
        <v>1</v>
      </c>
      <c r="L156" s="59"/>
    </row>
    <row r="157" spans="1:12" x14ac:dyDescent="0.3">
      <c r="A157" s="45"/>
      <c r="B157" s="45"/>
      <c r="C157" s="45" t="s">
        <v>1531</v>
      </c>
      <c r="D157" s="45" t="s">
        <v>1626</v>
      </c>
      <c r="E157" s="57" t="s">
        <v>1494</v>
      </c>
      <c r="F157" s="63"/>
      <c r="G157" s="58"/>
      <c r="H157" s="47">
        <f t="shared" si="15"/>
        <v>0</v>
      </c>
      <c r="I157" s="60"/>
      <c r="J157" s="49">
        <f t="shared" si="17"/>
        <v>0</v>
      </c>
      <c r="K157" s="49">
        <f t="shared" si="12"/>
        <v>0</v>
      </c>
      <c r="L157" s="59"/>
    </row>
    <row r="158" spans="1:12" x14ac:dyDescent="0.3">
      <c r="A158" s="45"/>
      <c r="B158" s="45"/>
      <c r="C158" s="45" t="s">
        <v>1531</v>
      </c>
      <c r="D158" s="45" t="s">
        <v>1532</v>
      </c>
      <c r="E158" s="61" t="s">
        <v>1494</v>
      </c>
      <c r="F158" s="61"/>
      <c r="G158" s="58"/>
      <c r="H158" s="47">
        <f t="shared" si="15"/>
        <v>0</v>
      </c>
      <c r="I158" s="60"/>
      <c r="J158" s="49">
        <f t="shared" si="17"/>
        <v>0</v>
      </c>
      <c r="K158" s="49">
        <f t="shared" si="12"/>
        <v>0</v>
      </c>
      <c r="L158" s="60"/>
    </row>
    <row r="159" spans="1:12" x14ac:dyDescent="0.3">
      <c r="A159" s="45"/>
      <c r="B159" s="45"/>
      <c r="C159" s="45" t="s">
        <v>1531</v>
      </c>
      <c r="D159" s="45" t="s">
        <v>1627</v>
      </c>
      <c r="E159" s="61" t="s">
        <v>1494</v>
      </c>
      <c r="F159" s="61"/>
      <c r="G159" s="58"/>
      <c r="H159" s="47">
        <f t="shared" si="15"/>
        <v>0</v>
      </c>
      <c r="I159" s="60"/>
      <c r="J159" s="49">
        <f t="shared" si="17"/>
        <v>0</v>
      </c>
      <c r="K159" s="49">
        <f t="shared" si="12"/>
        <v>0</v>
      </c>
      <c r="L159" s="60"/>
    </row>
    <row r="160" spans="1:12" x14ac:dyDescent="0.3">
      <c r="A160" s="45"/>
      <c r="B160" s="45"/>
      <c r="C160" s="45" t="s">
        <v>1531</v>
      </c>
      <c r="D160" s="45" t="s">
        <v>1628</v>
      </c>
      <c r="E160" s="61" t="s">
        <v>1494</v>
      </c>
      <c r="F160" s="61"/>
      <c r="G160" s="58"/>
      <c r="H160" s="47">
        <f t="shared" si="15"/>
        <v>0</v>
      </c>
      <c r="I160" s="60"/>
      <c r="J160" s="49">
        <f t="shared" si="17"/>
        <v>0</v>
      </c>
      <c r="K160" s="49">
        <f t="shared" si="12"/>
        <v>0</v>
      </c>
      <c r="L160" s="60"/>
    </row>
    <row r="161" spans="1:12" x14ac:dyDescent="0.3">
      <c r="A161" s="45"/>
      <c r="B161" s="45"/>
      <c r="C161" s="45" t="s">
        <v>1531</v>
      </c>
      <c r="D161" s="45" t="s">
        <v>1535</v>
      </c>
      <c r="E161" s="61" t="s">
        <v>1494</v>
      </c>
      <c r="F161" s="61"/>
      <c r="G161" s="58"/>
      <c r="H161" s="47">
        <f t="shared" si="15"/>
        <v>0</v>
      </c>
      <c r="I161" s="60"/>
      <c r="J161" s="49">
        <f>ROUND((H161*I161),1)</f>
        <v>0</v>
      </c>
      <c r="K161" s="49">
        <f t="shared" si="12"/>
        <v>0</v>
      </c>
      <c r="L161" s="60"/>
    </row>
    <row r="162" spans="1:12" x14ac:dyDescent="0.3">
      <c r="A162" s="45"/>
      <c r="B162" s="45"/>
      <c r="C162" s="45" t="s">
        <v>1531</v>
      </c>
      <c r="D162" s="45" t="s">
        <v>1630</v>
      </c>
      <c r="E162" s="61" t="s">
        <v>1494</v>
      </c>
      <c r="F162" s="61"/>
      <c r="G162" s="58"/>
      <c r="H162" s="47">
        <f t="shared" si="15"/>
        <v>0</v>
      </c>
      <c r="I162" s="60"/>
      <c r="J162" s="49">
        <f t="shared" ref="J162:J196" si="18">ROUND((H162*I162),1)</f>
        <v>0</v>
      </c>
      <c r="K162" s="49">
        <f t="shared" ref="K162:K228" si="19">ROUNDUP((H162+J162),0)</f>
        <v>0</v>
      </c>
      <c r="L162" s="60"/>
    </row>
    <row r="163" spans="1:12" x14ac:dyDescent="0.3">
      <c r="A163" s="45"/>
      <c r="B163" s="45"/>
      <c r="C163" s="45" t="s">
        <v>1538</v>
      </c>
      <c r="D163" s="45" t="s">
        <v>1631</v>
      </c>
      <c r="E163" s="61" t="s">
        <v>1494</v>
      </c>
      <c r="F163" s="61"/>
      <c r="G163" s="58"/>
      <c r="H163" s="47">
        <f t="shared" si="15"/>
        <v>0</v>
      </c>
      <c r="I163" s="60"/>
      <c r="J163" s="49">
        <f t="shared" si="18"/>
        <v>0</v>
      </c>
      <c r="K163" s="49">
        <f t="shared" si="19"/>
        <v>0</v>
      </c>
      <c r="L163" s="60"/>
    </row>
    <row r="164" spans="1:12" x14ac:dyDescent="0.3">
      <c r="A164" s="45"/>
      <c r="B164" s="45"/>
      <c r="C164" s="45" t="s">
        <v>1674</v>
      </c>
      <c r="D164" s="45" t="s">
        <v>1541</v>
      </c>
      <c r="E164" s="61" t="s">
        <v>1494</v>
      </c>
      <c r="F164" s="61"/>
      <c r="G164" s="58"/>
      <c r="H164" s="47">
        <f t="shared" si="15"/>
        <v>0</v>
      </c>
      <c r="I164" s="60"/>
      <c r="J164" s="49">
        <f t="shared" si="18"/>
        <v>0</v>
      </c>
      <c r="K164" s="49">
        <f t="shared" si="19"/>
        <v>0</v>
      </c>
      <c r="L164" s="60"/>
    </row>
    <row r="165" spans="1:12" x14ac:dyDescent="0.3">
      <c r="A165" s="45"/>
      <c r="B165" s="45"/>
      <c r="C165" s="45" t="s">
        <v>1538</v>
      </c>
      <c r="D165" s="45" t="s">
        <v>1543</v>
      </c>
      <c r="E165" s="61" t="s">
        <v>1494</v>
      </c>
      <c r="F165" s="61"/>
      <c r="G165" s="58"/>
      <c r="H165" s="47">
        <f t="shared" si="15"/>
        <v>0</v>
      </c>
      <c r="I165" s="60"/>
      <c r="J165" s="49">
        <f t="shared" si="18"/>
        <v>0</v>
      </c>
      <c r="K165" s="49">
        <f t="shared" si="19"/>
        <v>0</v>
      </c>
      <c r="L165" s="60"/>
    </row>
    <row r="166" spans="1:12" x14ac:dyDescent="0.3">
      <c r="A166" s="45"/>
      <c r="B166" s="45"/>
      <c r="C166" s="45" t="s">
        <v>1549</v>
      </c>
      <c r="D166" s="45" t="s">
        <v>1632</v>
      </c>
      <c r="E166" s="61" t="s">
        <v>1494</v>
      </c>
      <c r="F166" s="61" t="s">
        <v>1675</v>
      </c>
      <c r="G166" s="58">
        <f>1+1+1+1+1</f>
        <v>5</v>
      </c>
      <c r="H166" s="47">
        <f t="shared" si="15"/>
        <v>5</v>
      </c>
      <c r="I166" s="60"/>
      <c r="J166" s="49">
        <f t="shared" si="18"/>
        <v>0</v>
      </c>
      <c r="K166" s="49">
        <f t="shared" si="19"/>
        <v>5</v>
      </c>
      <c r="L166" s="60"/>
    </row>
    <row r="167" spans="1:12" x14ac:dyDescent="0.3">
      <c r="A167" s="45"/>
      <c r="B167" s="45"/>
      <c r="C167" s="45" t="s">
        <v>1676</v>
      </c>
      <c r="D167" s="45" t="s">
        <v>1677</v>
      </c>
      <c r="E167" s="61" t="s">
        <v>1494</v>
      </c>
      <c r="F167" s="61"/>
      <c r="G167" s="58"/>
      <c r="H167" s="47">
        <f t="shared" si="15"/>
        <v>0</v>
      </c>
      <c r="I167" s="60"/>
      <c r="J167" s="49">
        <f t="shared" si="18"/>
        <v>0</v>
      </c>
      <c r="K167" s="49">
        <f t="shared" si="19"/>
        <v>0</v>
      </c>
      <c r="L167" s="60"/>
    </row>
    <row r="168" spans="1:12" x14ac:dyDescent="0.3">
      <c r="A168" s="45"/>
      <c r="B168" s="45"/>
      <c r="C168" s="45" t="s">
        <v>1676</v>
      </c>
      <c r="D168" s="45" t="s">
        <v>1678</v>
      </c>
      <c r="E168" s="61" t="s">
        <v>1605</v>
      </c>
      <c r="F168" s="61">
        <v>1</v>
      </c>
      <c r="G168" s="58">
        <f>1</f>
        <v>1</v>
      </c>
      <c r="H168" s="47">
        <f t="shared" si="15"/>
        <v>1</v>
      </c>
      <c r="I168" s="60"/>
      <c r="J168" s="49">
        <f t="shared" si="18"/>
        <v>0</v>
      </c>
      <c r="K168" s="49">
        <f t="shared" si="19"/>
        <v>1</v>
      </c>
      <c r="L168" s="60"/>
    </row>
    <row r="169" spans="1:12" x14ac:dyDescent="0.3">
      <c r="A169" s="45"/>
      <c r="B169" s="45"/>
      <c r="C169" s="45" t="s">
        <v>1676</v>
      </c>
      <c r="D169" s="45" t="s">
        <v>1635</v>
      </c>
      <c r="E169" s="61" t="s">
        <v>1605</v>
      </c>
      <c r="F169" s="61">
        <v>1</v>
      </c>
      <c r="G169" s="58">
        <f>1</f>
        <v>1</v>
      </c>
      <c r="H169" s="47">
        <f t="shared" si="15"/>
        <v>1</v>
      </c>
      <c r="I169" s="60"/>
      <c r="J169" s="49">
        <f t="shared" si="18"/>
        <v>0</v>
      </c>
      <c r="K169" s="49">
        <f t="shared" si="19"/>
        <v>1</v>
      </c>
      <c r="L169" s="60"/>
    </row>
    <row r="170" spans="1:12" x14ac:dyDescent="0.3">
      <c r="A170" s="45"/>
      <c r="B170" s="45"/>
      <c r="C170" s="45" t="s">
        <v>1558</v>
      </c>
      <c r="D170" s="45" t="s">
        <v>1679</v>
      </c>
      <c r="E170" s="61" t="s">
        <v>1605</v>
      </c>
      <c r="F170" s="61"/>
      <c r="G170" s="58"/>
      <c r="H170" s="47">
        <f t="shared" si="15"/>
        <v>0</v>
      </c>
      <c r="I170" s="60"/>
      <c r="J170" s="49">
        <f t="shared" si="18"/>
        <v>0</v>
      </c>
      <c r="K170" s="49">
        <f t="shared" si="19"/>
        <v>0</v>
      </c>
      <c r="L170" s="60"/>
    </row>
    <row r="171" spans="1:12" x14ac:dyDescent="0.3">
      <c r="A171" s="45"/>
      <c r="B171" s="45"/>
      <c r="C171" s="45" t="s">
        <v>1636</v>
      </c>
      <c r="D171" s="45" t="s">
        <v>1637</v>
      </c>
      <c r="E171" s="61" t="s">
        <v>1605</v>
      </c>
      <c r="F171" s="61"/>
      <c r="G171" s="58"/>
      <c r="H171" s="47">
        <f t="shared" si="15"/>
        <v>0</v>
      </c>
      <c r="I171" s="60"/>
      <c r="J171" s="49">
        <f t="shared" si="18"/>
        <v>0</v>
      </c>
      <c r="K171" s="49">
        <f t="shared" si="19"/>
        <v>0</v>
      </c>
      <c r="L171" s="60"/>
    </row>
    <row r="172" spans="1:12" x14ac:dyDescent="0.3">
      <c r="A172" s="45"/>
      <c r="B172" s="45"/>
      <c r="C172" s="45" t="s">
        <v>1636</v>
      </c>
      <c r="D172" s="45" t="s">
        <v>1680</v>
      </c>
      <c r="E172" s="57" t="s">
        <v>1605</v>
      </c>
      <c r="F172" s="57" t="s">
        <v>1681</v>
      </c>
      <c r="G172" s="58">
        <f>1+1+1</f>
        <v>3</v>
      </c>
      <c r="H172" s="47">
        <f t="shared" si="15"/>
        <v>3</v>
      </c>
      <c r="I172" s="60"/>
      <c r="J172" s="49">
        <f t="shared" si="18"/>
        <v>0</v>
      </c>
      <c r="K172" s="49">
        <f t="shared" si="19"/>
        <v>3</v>
      </c>
      <c r="L172" s="59"/>
    </row>
    <row r="173" spans="1:12" x14ac:dyDescent="0.3">
      <c r="A173" s="45"/>
      <c r="B173" s="45"/>
      <c r="C173" s="45" t="s">
        <v>1558</v>
      </c>
      <c r="D173" s="45" t="s">
        <v>1506</v>
      </c>
      <c r="E173" s="57" t="s">
        <v>1494</v>
      </c>
      <c r="F173" s="57"/>
      <c r="G173" s="58"/>
      <c r="H173" s="47">
        <f t="shared" si="15"/>
        <v>0</v>
      </c>
      <c r="I173" s="60"/>
      <c r="J173" s="49">
        <f t="shared" si="18"/>
        <v>0</v>
      </c>
      <c r="K173" s="49">
        <f t="shared" si="19"/>
        <v>0</v>
      </c>
      <c r="L173" s="59"/>
    </row>
    <row r="174" spans="1:12" x14ac:dyDescent="0.3">
      <c r="A174" s="45"/>
      <c r="B174" s="45"/>
      <c r="C174" s="45" t="s">
        <v>1559</v>
      </c>
      <c r="D174" s="45" t="s">
        <v>1560</v>
      </c>
      <c r="E174" s="57" t="s">
        <v>1561</v>
      </c>
      <c r="F174" s="57" t="s">
        <v>1683</v>
      </c>
      <c r="G174" s="58">
        <f>(3)*2</f>
        <v>6</v>
      </c>
      <c r="H174" s="47">
        <f t="shared" si="15"/>
        <v>6</v>
      </c>
      <c r="I174" s="64"/>
      <c r="J174" s="49">
        <f t="shared" si="18"/>
        <v>0</v>
      </c>
      <c r="K174" s="49">
        <f t="shared" si="19"/>
        <v>6</v>
      </c>
      <c r="L174" s="59"/>
    </row>
    <row r="175" spans="1:12" ht="17.45" customHeight="1" x14ac:dyDescent="0.3">
      <c r="A175" s="45"/>
      <c r="B175" s="45"/>
      <c r="C175" s="45" t="s">
        <v>1563</v>
      </c>
      <c r="D175" s="45" t="s">
        <v>1564</v>
      </c>
      <c r="E175" s="57" t="s">
        <v>1494</v>
      </c>
      <c r="F175" s="57" t="s">
        <v>1684</v>
      </c>
      <c r="G175" s="58">
        <f>(0.19*7)+(0.153*0.6)</f>
        <v>1.4218000000000002</v>
      </c>
      <c r="H175" s="47">
        <f t="shared" si="15"/>
        <v>1.4218000000000002</v>
      </c>
      <c r="I175" s="48">
        <v>0.1</v>
      </c>
      <c r="J175" s="49">
        <f t="shared" si="18"/>
        <v>0.1</v>
      </c>
      <c r="K175" s="49">
        <f t="shared" si="19"/>
        <v>2</v>
      </c>
      <c r="L175" s="59"/>
    </row>
    <row r="176" spans="1:12" x14ac:dyDescent="0.3">
      <c r="A176" s="45"/>
      <c r="B176" s="45"/>
      <c r="C176" s="45" t="s">
        <v>1566</v>
      </c>
      <c r="D176" s="45" t="s">
        <v>1567</v>
      </c>
      <c r="E176" s="61" t="s">
        <v>1568</v>
      </c>
      <c r="F176" s="61" t="s">
        <v>1685</v>
      </c>
      <c r="G176" s="58">
        <f>(0.3+0.3+0.3)*3</f>
        <v>2.6999999999999997</v>
      </c>
      <c r="H176" s="47">
        <f t="shared" si="15"/>
        <v>2.6999999999999997</v>
      </c>
      <c r="I176" s="48">
        <v>0.1</v>
      </c>
      <c r="J176" s="49">
        <f t="shared" si="18"/>
        <v>0.3</v>
      </c>
      <c r="K176" s="49">
        <f t="shared" si="19"/>
        <v>3</v>
      </c>
      <c r="L176" s="60"/>
    </row>
    <row r="177" spans="1:12" x14ac:dyDescent="0.3">
      <c r="A177" s="45"/>
      <c r="B177" s="45"/>
      <c r="C177" s="45" t="s">
        <v>1686</v>
      </c>
      <c r="D177" s="45" t="s">
        <v>1687</v>
      </c>
      <c r="E177" s="61" t="s">
        <v>1688</v>
      </c>
      <c r="F177" s="61" t="s">
        <v>1689</v>
      </c>
      <c r="G177" s="75">
        <f>2.7/1000</f>
        <v>2.7000000000000001E-3</v>
      </c>
      <c r="H177" s="76">
        <f t="shared" si="15"/>
        <v>2.7000000000000001E-3</v>
      </c>
      <c r="I177" s="60"/>
      <c r="J177" s="49">
        <f t="shared" si="18"/>
        <v>0</v>
      </c>
      <c r="K177" s="77">
        <f t="shared" ref="K177" si="20">H177+J177</f>
        <v>2.7000000000000001E-3</v>
      </c>
      <c r="L177" s="60"/>
    </row>
    <row r="178" spans="1:12" x14ac:dyDescent="0.3">
      <c r="A178" s="45"/>
      <c r="B178" s="45"/>
      <c r="C178" s="45" t="s">
        <v>1575</v>
      </c>
      <c r="D178" s="45" t="s">
        <v>1576</v>
      </c>
      <c r="E178" s="61" t="s">
        <v>1494</v>
      </c>
      <c r="F178" s="61" t="s">
        <v>1643</v>
      </c>
      <c r="G178" s="58">
        <f>4</f>
        <v>4</v>
      </c>
      <c r="H178" s="47">
        <f t="shared" si="15"/>
        <v>4</v>
      </c>
      <c r="I178" s="62"/>
      <c r="J178" s="49">
        <f t="shared" si="18"/>
        <v>0</v>
      </c>
      <c r="K178" s="49">
        <f t="shared" si="19"/>
        <v>4</v>
      </c>
      <c r="L178" s="60"/>
    </row>
    <row r="179" spans="1:12" x14ac:dyDescent="0.3">
      <c r="A179" s="45"/>
      <c r="B179" s="45"/>
      <c r="C179" s="45" t="s">
        <v>1578</v>
      </c>
      <c r="D179" s="45" t="s">
        <v>1579</v>
      </c>
      <c r="E179" s="57" t="s">
        <v>1494</v>
      </c>
      <c r="F179" s="57" t="s">
        <v>1690</v>
      </c>
      <c r="G179" s="70">
        <f>6*4</f>
        <v>24</v>
      </c>
      <c r="H179" s="47">
        <f t="shared" si="15"/>
        <v>24</v>
      </c>
      <c r="I179" s="48">
        <v>0.1</v>
      </c>
      <c r="J179" s="49">
        <f t="shared" si="18"/>
        <v>2.4</v>
      </c>
      <c r="K179" s="49">
        <f t="shared" si="19"/>
        <v>27</v>
      </c>
      <c r="L179" s="59"/>
    </row>
    <row r="180" spans="1:12" x14ac:dyDescent="0.3">
      <c r="A180" s="45"/>
      <c r="B180" s="45"/>
      <c r="C180" s="51" t="s">
        <v>1581</v>
      </c>
      <c r="D180" s="51" t="s">
        <v>1582</v>
      </c>
      <c r="E180" s="71" t="s">
        <v>1561</v>
      </c>
      <c r="F180" s="71"/>
      <c r="G180" s="72"/>
      <c r="H180" s="53">
        <f t="shared" si="15"/>
        <v>0</v>
      </c>
      <c r="I180" s="54"/>
      <c r="J180" s="55">
        <f t="shared" si="18"/>
        <v>0</v>
      </c>
      <c r="K180" s="55">
        <f t="shared" si="19"/>
        <v>0</v>
      </c>
      <c r="L180" s="73"/>
    </row>
    <row r="181" spans="1:12" x14ac:dyDescent="0.3">
      <c r="A181" s="45"/>
      <c r="B181" s="45"/>
      <c r="C181" s="51" t="s">
        <v>1581</v>
      </c>
      <c r="D181" s="51" t="s">
        <v>1583</v>
      </c>
      <c r="E181" s="71" t="s">
        <v>1561</v>
      </c>
      <c r="F181" s="71"/>
      <c r="G181" s="72"/>
      <c r="H181" s="53">
        <f t="shared" si="15"/>
        <v>0</v>
      </c>
      <c r="I181" s="54"/>
      <c r="J181" s="55">
        <f t="shared" si="18"/>
        <v>0</v>
      </c>
      <c r="K181" s="55">
        <f t="shared" si="19"/>
        <v>0</v>
      </c>
      <c r="L181" s="73"/>
    </row>
    <row r="182" spans="1:12" x14ac:dyDescent="0.3">
      <c r="A182" s="45"/>
      <c r="B182" s="45"/>
      <c r="C182" s="51" t="s">
        <v>1581</v>
      </c>
      <c r="D182" s="51" t="s">
        <v>1584</v>
      </c>
      <c r="E182" s="71" t="s">
        <v>1561</v>
      </c>
      <c r="F182" s="71">
        <v>1</v>
      </c>
      <c r="G182" s="72">
        <f>1</f>
        <v>1</v>
      </c>
      <c r="H182" s="53">
        <f t="shared" si="15"/>
        <v>1</v>
      </c>
      <c r="I182" s="54"/>
      <c r="J182" s="55">
        <f t="shared" si="18"/>
        <v>0</v>
      </c>
      <c r="K182" s="55">
        <f t="shared" si="19"/>
        <v>1</v>
      </c>
      <c r="L182" s="73"/>
    </row>
    <row r="183" spans="1:12" x14ac:dyDescent="0.3">
      <c r="A183" s="45"/>
      <c r="B183" s="45"/>
      <c r="C183" s="51" t="s">
        <v>1581</v>
      </c>
      <c r="D183" s="51" t="s">
        <v>1586</v>
      </c>
      <c r="E183" s="71" t="s">
        <v>1561</v>
      </c>
      <c r="F183" s="71"/>
      <c r="G183" s="72"/>
      <c r="H183" s="53">
        <f t="shared" si="15"/>
        <v>0</v>
      </c>
      <c r="I183" s="54"/>
      <c r="J183" s="55">
        <f t="shared" si="18"/>
        <v>0</v>
      </c>
      <c r="K183" s="55">
        <f t="shared" si="19"/>
        <v>0</v>
      </c>
      <c r="L183" s="73"/>
    </row>
    <row r="184" spans="1:12" x14ac:dyDescent="0.3">
      <c r="A184" s="45"/>
      <c r="B184" s="45"/>
      <c r="C184" s="51" t="s">
        <v>1587</v>
      </c>
      <c r="D184" s="51" t="s">
        <v>1588</v>
      </c>
      <c r="E184" s="71" t="s">
        <v>1589</v>
      </c>
      <c r="F184" s="71" t="s">
        <v>1504</v>
      </c>
      <c r="G184" s="72">
        <f>1+1</f>
        <v>2</v>
      </c>
      <c r="H184" s="53">
        <f t="shared" si="15"/>
        <v>2</v>
      </c>
      <c r="I184" s="54"/>
      <c r="J184" s="55">
        <f t="shared" si="18"/>
        <v>0</v>
      </c>
      <c r="K184" s="55">
        <f t="shared" si="19"/>
        <v>2</v>
      </c>
      <c r="L184" s="73"/>
    </row>
    <row r="185" spans="1:12" x14ac:dyDescent="0.3">
      <c r="A185" s="45"/>
      <c r="B185" s="45"/>
      <c r="C185" s="45" t="s">
        <v>1590</v>
      </c>
      <c r="D185" s="45" t="s">
        <v>1591</v>
      </c>
      <c r="E185" s="45" t="s">
        <v>1592</v>
      </c>
      <c r="F185" s="45"/>
      <c r="G185" s="46"/>
      <c r="H185" s="74"/>
      <c r="I185" s="48">
        <v>0.1</v>
      </c>
      <c r="J185" s="49">
        <f t="shared" si="18"/>
        <v>0</v>
      </c>
      <c r="K185" s="49">
        <f t="shared" si="19"/>
        <v>0</v>
      </c>
      <c r="L185" s="50"/>
    </row>
    <row r="186" spans="1:12" x14ac:dyDescent="0.3">
      <c r="A186" s="45"/>
      <c r="B186" s="45"/>
      <c r="C186" s="45" t="s">
        <v>1691</v>
      </c>
      <c r="D186" s="45" t="s">
        <v>1692</v>
      </c>
      <c r="E186" s="57" t="s">
        <v>1597</v>
      </c>
      <c r="F186" s="57"/>
      <c r="G186" s="58"/>
      <c r="H186" s="47"/>
      <c r="I186" s="48"/>
      <c r="J186" s="49">
        <f>ROUND((H186*I186),1)</f>
        <v>0</v>
      </c>
      <c r="K186" s="49">
        <f t="shared" si="19"/>
        <v>0</v>
      </c>
      <c r="L186" s="59"/>
    </row>
    <row r="187" spans="1:12" x14ac:dyDescent="0.3">
      <c r="A187" s="45"/>
      <c r="B187" s="45"/>
      <c r="C187" s="45" t="s">
        <v>1598</v>
      </c>
      <c r="D187" s="45" t="s">
        <v>1602</v>
      </c>
      <c r="E187" s="57" t="s">
        <v>1599</v>
      </c>
      <c r="F187" s="57"/>
      <c r="G187" s="58"/>
      <c r="H187" s="47"/>
      <c r="I187" s="48">
        <v>0.1</v>
      </c>
      <c r="J187" s="49">
        <f t="shared" si="18"/>
        <v>0</v>
      </c>
      <c r="K187" s="49">
        <f t="shared" si="19"/>
        <v>0</v>
      </c>
      <c r="L187" s="59"/>
    </row>
    <row r="188" spans="1:12" x14ac:dyDescent="0.3">
      <c r="A188" s="45"/>
      <c r="B188" s="45"/>
      <c r="C188" s="45" t="s">
        <v>1693</v>
      </c>
      <c r="D188" s="45" t="s">
        <v>1496</v>
      </c>
      <c r="E188" s="57" t="s">
        <v>1605</v>
      </c>
      <c r="F188" s="57"/>
      <c r="G188" s="58"/>
      <c r="H188" s="47"/>
      <c r="I188" s="60"/>
      <c r="J188" s="49">
        <f t="shared" si="18"/>
        <v>0</v>
      </c>
      <c r="K188" s="49">
        <f t="shared" si="19"/>
        <v>0</v>
      </c>
      <c r="L188" s="59"/>
    </row>
    <row r="189" spans="1:12" x14ac:dyDescent="0.3">
      <c r="A189" s="45"/>
      <c r="B189" s="45"/>
      <c r="C189" s="45" t="s">
        <v>1603</v>
      </c>
      <c r="D189" s="45" t="s">
        <v>1602</v>
      </c>
      <c r="E189" s="61" t="s">
        <v>1605</v>
      </c>
      <c r="F189" s="61"/>
      <c r="G189" s="58"/>
      <c r="H189" s="47"/>
      <c r="I189" s="60"/>
      <c r="J189" s="49">
        <f t="shared" si="18"/>
        <v>0</v>
      </c>
      <c r="K189" s="49">
        <f t="shared" si="19"/>
        <v>0</v>
      </c>
      <c r="L189" s="60"/>
    </row>
    <row r="190" spans="1:12" x14ac:dyDescent="0.3">
      <c r="A190" s="45"/>
      <c r="B190" s="45"/>
      <c r="C190" s="45" t="s">
        <v>1604</v>
      </c>
      <c r="D190" s="45" t="s">
        <v>1602</v>
      </c>
      <c r="E190" s="61" t="s">
        <v>1605</v>
      </c>
      <c r="F190" s="57"/>
      <c r="G190" s="58"/>
      <c r="H190" s="47"/>
      <c r="I190" s="62"/>
      <c r="J190" s="49">
        <f t="shared" si="18"/>
        <v>0</v>
      </c>
      <c r="K190" s="49">
        <f t="shared" si="19"/>
        <v>0</v>
      </c>
      <c r="L190" s="60"/>
    </row>
    <row r="191" spans="1:12" x14ac:dyDescent="0.3">
      <c r="A191" s="45"/>
      <c r="B191" s="45"/>
      <c r="C191" s="45" t="s">
        <v>1607</v>
      </c>
      <c r="D191" s="45" t="s">
        <v>1658</v>
      </c>
      <c r="E191" s="57" t="s">
        <v>1605</v>
      </c>
      <c r="F191" s="57"/>
      <c r="G191" s="58"/>
      <c r="H191" s="47"/>
      <c r="I191" s="64"/>
      <c r="J191" s="49">
        <f t="shared" si="18"/>
        <v>0</v>
      </c>
      <c r="K191" s="49">
        <f t="shared" si="19"/>
        <v>0</v>
      </c>
      <c r="L191" s="59"/>
    </row>
    <row r="192" spans="1:12" x14ac:dyDescent="0.3">
      <c r="A192" s="45"/>
      <c r="B192" s="45"/>
      <c r="C192" s="45" t="s">
        <v>1609</v>
      </c>
      <c r="D192" s="45" t="s">
        <v>1694</v>
      </c>
      <c r="E192" s="57" t="s">
        <v>1605</v>
      </c>
      <c r="F192" s="57"/>
      <c r="G192" s="58"/>
      <c r="H192" s="47"/>
      <c r="I192" s="64"/>
      <c r="J192" s="49">
        <f t="shared" si="18"/>
        <v>0</v>
      </c>
      <c r="K192" s="49">
        <f t="shared" si="19"/>
        <v>0</v>
      </c>
      <c r="L192" s="59"/>
    </row>
    <row r="193" spans="1:12" x14ac:dyDescent="0.3">
      <c r="A193" s="45"/>
      <c r="B193" s="45"/>
      <c r="C193" s="45" t="s">
        <v>1611</v>
      </c>
      <c r="D193" s="45" t="s">
        <v>1612</v>
      </c>
      <c r="E193" s="57" t="s">
        <v>1605</v>
      </c>
      <c r="F193" s="57"/>
      <c r="G193" s="58"/>
      <c r="H193" s="47"/>
      <c r="I193" s="60"/>
      <c r="J193" s="49">
        <f t="shared" si="18"/>
        <v>0</v>
      </c>
      <c r="K193" s="49">
        <f t="shared" si="19"/>
        <v>0</v>
      </c>
      <c r="L193" s="59"/>
    </row>
    <row r="194" spans="1:12" x14ac:dyDescent="0.3">
      <c r="A194" s="45"/>
      <c r="B194" s="45"/>
      <c r="C194" s="45" t="s">
        <v>1613</v>
      </c>
      <c r="D194" s="45" t="s">
        <v>1614</v>
      </c>
      <c r="E194" s="57" t="s">
        <v>1660</v>
      </c>
      <c r="F194" s="63"/>
      <c r="G194" s="58"/>
      <c r="H194" s="47"/>
      <c r="I194" s="60"/>
      <c r="J194" s="49">
        <f t="shared" si="18"/>
        <v>0</v>
      </c>
      <c r="K194" s="49">
        <f t="shared" si="19"/>
        <v>0</v>
      </c>
      <c r="L194" s="59"/>
    </row>
    <row r="195" spans="1:12" x14ac:dyDescent="0.3">
      <c r="A195" s="45"/>
      <c r="B195" s="45"/>
      <c r="C195" s="45" t="s">
        <v>1662</v>
      </c>
      <c r="D195" s="45" t="s">
        <v>1614</v>
      </c>
      <c r="E195" s="61" t="s">
        <v>1605</v>
      </c>
      <c r="F195" s="61"/>
      <c r="G195" s="58"/>
      <c r="H195" s="47"/>
      <c r="I195" s="60"/>
      <c r="J195" s="49">
        <f t="shared" si="18"/>
        <v>0</v>
      </c>
      <c r="K195" s="49">
        <f t="shared" si="19"/>
        <v>0</v>
      </c>
      <c r="L195" s="60"/>
    </row>
    <row r="196" spans="1:12" x14ac:dyDescent="0.3">
      <c r="A196" s="45"/>
      <c r="B196" s="45"/>
      <c r="C196" s="45" t="s">
        <v>1618</v>
      </c>
      <c r="D196" s="45" t="s">
        <v>1614</v>
      </c>
      <c r="E196" s="61" t="s">
        <v>1605</v>
      </c>
      <c r="F196" s="61"/>
      <c r="G196" s="58"/>
      <c r="H196" s="47"/>
      <c r="I196" s="60"/>
      <c r="J196" s="49">
        <f t="shared" si="18"/>
        <v>0</v>
      </c>
      <c r="K196" s="49">
        <f t="shared" si="19"/>
        <v>0</v>
      </c>
      <c r="L196" s="60"/>
    </row>
    <row r="197" spans="1:12" x14ac:dyDescent="0.3">
      <c r="A197" s="44" t="s">
        <v>1695</v>
      </c>
      <c r="B197" s="44" t="s">
        <v>1695</v>
      </c>
      <c r="C197" s="45" t="s">
        <v>1481</v>
      </c>
      <c r="D197" s="45" t="s">
        <v>1482</v>
      </c>
      <c r="E197" s="45" t="s">
        <v>1483</v>
      </c>
      <c r="F197" s="45">
        <v>1</v>
      </c>
      <c r="G197" s="46">
        <f>1</f>
        <v>1</v>
      </c>
      <c r="H197" s="47">
        <f t="shared" ref="H197:H248" si="21">G197</f>
        <v>1</v>
      </c>
      <c r="I197" s="48"/>
      <c r="J197" s="49">
        <f>ROUND((H197*I197),1)</f>
        <v>0</v>
      </c>
      <c r="K197" s="49">
        <f t="shared" si="19"/>
        <v>1</v>
      </c>
      <c r="L197" s="50"/>
    </row>
    <row r="198" spans="1:12" x14ac:dyDescent="0.3">
      <c r="A198" s="45"/>
      <c r="B198" s="45"/>
      <c r="C198" s="45" t="s">
        <v>1481</v>
      </c>
      <c r="D198" s="45" t="s">
        <v>1696</v>
      </c>
      <c r="E198" s="45" t="s">
        <v>1483</v>
      </c>
      <c r="F198" s="45"/>
      <c r="G198" s="46"/>
      <c r="H198" s="47">
        <f t="shared" si="21"/>
        <v>0</v>
      </c>
      <c r="I198" s="48"/>
      <c r="J198" s="49">
        <f>ROUND((H198*I198),1)</f>
        <v>0</v>
      </c>
      <c r="K198" s="49">
        <f t="shared" si="19"/>
        <v>0</v>
      </c>
      <c r="L198" s="50"/>
    </row>
    <row r="199" spans="1:12" x14ac:dyDescent="0.3">
      <c r="A199" s="45"/>
      <c r="B199" s="45"/>
      <c r="C199" s="45" t="s">
        <v>1481</v>
      </c>
      <c r="D199" s="45" t="s">
        <v>1665</v>
      </c>
      <c r="E199" s="45" t="s">
        <v>1483</v>
      </c>
      <c r="F199" s="45"/>
      <c r="G199" s="46"/>
      <c r="H199" s="47">
        <f t="shared" si="21"/>
        <v>0</v>
      </c>
      <c r="I199" s="48"/>
      <c r="J199" s="49">
        <f t="shared" ref="J199:J224" si="22">ROUND((H199*I199),1)</f>
        <v>0</v>
      </c>
      <c r="K199" s="49">
        <f t="shared" si="19"/>
        <v>0</v>
      </c>
      <c r="L199" s="50"/>
    </row>
    <row r="200" spans="1:12" x14ac:dyDescent="0.3">
      <c r="A200" s="45"/>
      <c r="B200" s="45"/>
      <c r="C200" s="45" t="s">
        <v>1481</v>
      </c>
      <c r="D200" s="45" t="s">
        <v>1697</v>
      </c>
      <c r="E200" s="45" t="s">
        <v>1483</v>
      </c>
      <c r="F200" s="45"/>
      <c r="G200" s="46"/>
      <c r="H200" s="47">
        <f t="shared" si="21"/>
        <v>0</v>
      </c>
      <c r="I200" s="48"/>
      <c r="J200" s="49">
        <f t="shared" si="22"/>
        <v>0</v>
      </c>
      <c r="K200" s="49">
        <f t="shared" si="19"/>
        <v>0</v>
      </c>
      <c r="L200" s="50"/>
    </row>
    <row r="201" spans="1:12" x14ac:dyDescent="0.3">
      <c r="A201" s="45"/>
      <c r="B201" s="45"/>
      <c r="C201" s="45" t="s">
        <v>1481</v>
      </c>
      <c r="D201" s="45" t="s">
        <v>1698</v>
      </c>
      <c r="E201" s="45" t="s">
        <v>1483</v>
      </c>
      <c r="F201" s="45"/>
      <c r="G201" s="46"/>
      <c r="H201" s="47">
        <f t="shared" si="21"/>
        <v>0</v>
      </c>
      <c r="I201" s="48"/>
      <c r="J201" s="49">
        <f t="shared" si="22"/>
        <v>0</v>
      </c>
      <c r="K201" s="49">
        <f t="shared" si="19"/>
        <v>0</v>
      </c>
      <c r="L201" s="50"/>
    </row>
    <row r="202" spans="1:12" x14ac:dyDescent="0.3">
      <c r="A202" s="45"/>
      <c r="B202" s="45"/>
      <c r="C202" s="45" t="s">
        <v>1699</v>
      </c>
      <c r="D202" s="45" t="s">
        <v>1700</v>
      </c>
      <c r="E202" s="45" t="s">
        <v>1605</v>
      </c>
      <c r="F202" s="45">
        <v>1</v>
      </c>
      <c r="G202" s="46">
        <f>1</f>
        <v>1</v>
      </c>
      <c r="H202" s="47">
        <f t="shared" si="21"/>
        <v>1</v>
      </c>
      <c r="I202" s="48"/>
      <c r="J202" s="49">
        <f t="shared" si="22"/>
        <v>0</v>
      </c>
      <c r="K202" s="49">
        <f t="shared" si="19"/>
        <v>1</v>
      </c>
      <c r="L202" s="50"/>
    </row>
    <row r="203" spans="1:12" x14ac:dyDescent="0.3">
      <c r="A203" s="45"/>
      <c r="B203" s="45"/>
      <c r="C203" s="51" t="s">
        <v>1701</v>
      </c>
      <c r="D203" s="51" t="s">
        <v>1602</v>
      </c>
      <c r="E203" s="51" t="s">
        <v>1605</v>
      </c>
      <c r="F203" s="51">
        <v>1</v>
      </c>
      <c r="G203" s="52">
        <f>1</f>
        <v>1</v>
      </c>
      <c r="H203" s="53">
        <f t="shared" si="21"/>
        <v>1</v>
      </c>
      <c r="I203" s="54"/>
      <c r="J203" s="55">
        <f t="shared" si="22"/>
        <v>0</v>
      </c>
      <c r="K203" s="55">
        <f t="shared" si="19"/>
        <v>1</v>
      </c>
      <c r="L203" s="56" t="s">
        <v>1702</v>
      </c>
    </row>
    <row r="204" spans="1:12" x14ac:dyDescent="0.3">
      <c r="A204" s="45"/>
      <c r="B204" s="45"/>
      <c r="C204" s="45" t="s">
        <v>1667</v>
      </c>
      <c r="D204" s="45" t="s">
        <v>1703</v>
      </c>
      <c r="E204" s="45" t="s">
        <v>1605</v>
      </c>
      <c r="F204" s="45">
        <v>1</v>
      </c>
      <c r="G204" s="46">
        <f>1</f>
        <v>1</v>
      </c>
      <c r="H204" s="47">
        <f t="shared" si="21"/>
        <v>1</v>
      </c>
      <c r="I204" s="48"/>
      <c r="J204" s="49">
        <f t="shared" si="22"/>
        <v>0</v>
      </c>
      <c r="K204" s="49">
        <f t="shared" si="19"/>
        <v>1</v>
      </c>
      <c r="L204" s="50"/>
    </row>
    <row r="205" spans="1:12" x14ac:dyDescent="0.3">
      <c r="A205" s="45"/>
      <c r="B205" s="45"/>
      <c r="C205" s="45" t="s">
        <v>1667</v>
      </c>
      <c r="D205" s="45" t="s">
        <v>1704</v>
      </c>
      <c r="E205" s="45" t="s">
        <v>1605</v>
      </c>
      <c r="F205" s="45"/>
      <c r="G205" s="46"/>
      <c r="H205" s="47">
        <f t="shared" si="21"/>
        <v>0</v>
      </c>
      <c r="I205" s="48"/>
      <c r="J205" s="49">
        <f t="shared" si="22"/>
        <v>0</v>
      </c>
      <c r="K205" s="49">
        <f t="shared" si="19"/>
        <v>0</v>
      </c>
      <c r="L205" s="50"/>
    </row>
    <row r="206" spans="1:12" x14ac:dyDescent="0.3">
      <c r="A206" s="45"/>
      <c r="B206" s="45"/>
      <c r="C206" s="45" t="s">
        <v>1668</v>
      </c>
      <c r="D206" s="45" t="s">
        <v>1680</v>
      </c>
      <c r="E206" s="57" t="s">
        <v>1605</v>
      </c>
      <c r="F206" s="57"/>
      <c r="G206" s="58"/>
      <c r="H206" s="47">
        <f t="shared" si="21"/>
        <v>0</v>
      </c>
      <c r="I206" s="48"/>
      <c r="J206" s="49">
        <f t="shared" si="22"/>
        <v>0</v>
      </c>
      <c r="K206" s="49">
        <f t="shared" si="19"/>
        <v>0</v>
      </c>
      <c r="L206" s="59"/>
    </row>
    <row r="207" spans="1:12" x14ac:dyDescent="0.3">
      <c r="A207" s="45"/>
      <c r="B207" s="45"/>
      <c r="C207" s="45" t="s">
        <v>1705</v>
      </c>
      <c r="D207" s="45" t="s">
        <v>1680</v>
      </c>
      <c r="E207" s="57" t="s">
        <v>1605</v>
      </c>
      <c r="F207" s="57">
        <v>1</v>
      </c>
      <c r="G207" s="58">
        <f>1</f>
        <v>1</v>
      </c>
      <c r="H207" s="47">
        <f t="shared" si="21"/>
        <v>1</v>
      </c>
      <c r="I207" s="48"/>
      <c r="J207" s="49">
        <f t="shared" si="22"/>
        <v>0</v>
      </c>
      <c r="K207" s="49">
        <f t="shared" si="19"/>
        <v>1</v>
      </c>
      <c r="L207" s="59"/>
    </row>
    <row r="208" spans="1:12" x14ac:dyDescent="0.3">
      <c r="A208" s="45"/>
      <c r="B208" s="45"/>
      <c r="C208" s="45" t="s">
        <v>1668</v>
      </c>
      <c r="D208" s="45" t="s">
        <v>1706</v>
      </c>
      <c r="E208" s="57" t="s">
        <v>1605</v>
      </c>
      <c r="F208" s="57"/>
      <c r="G208" s="58"/>
      <c r="H208" s="47">
        <f t="shared" si="21"/>
        <v>0</v>
      </c>
      <c r="I208" s="48"/>
      <c r="J208" s="49">
        <f t="shared" si="22"/>
        <v>0</v>
      </c>
      <c r="K208" s="49">
        <f t="shared" si="19"/>
        <v>0</v>
      </c>
      <c r="L208" s="59"/>
    </row>
    <row r="209" spans="1:12" x14ac:dyDescent="0.3">
      <c r="A209" s="45"/>
      <c r="B209" s="45"/>
      <c r="C209" s="45" t="s">
        <v>1705</v>
      </c>
      <c r="D209" s="45" t="s">
        <v>1706</v>
      </c>
      <c r="E209" s="57" t="s">
        <v>1605</v>
      </c>
      <c r="F209" s="57"/>
      <c r="G209" s="58"/>
      <c r="H209" s="47">
        <f t="shared" si="21"/>
        <v>0</v>
      </c>
      <c r="I209" s="48"/>
      <c r="J209" s="49">
        <f t="shared" si="22"/>
        <v>0</v>
      </c>
      <c r="K209" s="49">
        <f t="shared" si="19"/>
        <v>0</v>
      </c>
      <c r="L209" s="59"/>
    </row>
    <row r="210" spans="1:12" x14ac:dyDescent="0.3">
      <c r="A210" s="45"/>
      <c r="B210" s="45"/>
      <c r="C210" s="45" t="s">
        <v>1707</v>
      </c>
      <c r="D210" s="45" t="s">
        <v>1708</v>
      </c>
      <c r="E210" s="57" t="s">
        <v>1605</v>
      </c>
      <c r="F210" s="57"/>
      <c r="G210" s="58"/>
      <c r="H210" s="47">
        <f t="shared" si="21"/>
        <v>0</v>
      </c>
      <c r="I210" s="60"/>
      <c r="J210" s="49">
        <f t="shared" si="22"/>
        <v>0</v>
      </c>
      <c r="K210" s="49">
        <f t="shared" si="19"/>
        <v>0</v>
      </c>
      <c r="L210" s="59"/>
    </row>
    <row r="211" spans="1:12" x14ac:dyDescent="0.3">
      <c r="A211" s="45"/>
      <c r="B211" s="45"/>
      <c r="C211" s="45" t="s">
        <v>1707</v>
      </c>
      <c r="D211" s="45" t="s">
        <v>1622</v>
      </c>
      <c r="E211" s="57" t="s">
        <v>1605</v>
      </c>
      <c r="F211" s="57">
        <v>1</v>
      </c>
      <c r="G211" s="58">
        <f>1</f>
        <v>1</v>
      </c>
      <c r="H211" s="47">
        <f t="shared" si="21"/>
        <v>1</v>
      </c>
      <c r="I211" s="60"/>
      <c r="J211" s="49">
        <f t="shared" si="22"/>
        <v>0</v>
      </c>
      <c r="K211" s="49">
        <f t="shared" si="19"/>
        <v>1</v>
      </c>
      <c r="L211" s="59"/>
    </row>
    <row r="212" spans="1:12" x14ac:dyDescent="0.3">
      <c r="A212" s="45"/>
      <c r="B212" s="45"/>
      <c r="C212" s="45" t="s">
        <v>1707</v>
      </c>
      <c r="D212" s="45" t="s">
        <v>1709</v>
      </c>
      <c r="E212" s="57" t="s">
        <v>1605</v>
      </c>
      <c r="F212" s="57"/>
      <c r="G212" s="58"/>
      <c r="H212" s="47">
        <f t="shared" si="21"/>
        <v>0</v>
      </c>
      <c r="I212" s="60"/>
      <c r="J212" s="49">
        <f t="shared" si="22"/>
        <v>0</v>
      </c>
      <c r="K212" s="49">
        <f t="shared" si="19"/>
        <v>0</v>
      </c>
      <c r="L212" s="59"/>
    </row>
    <row r="213" spans="1:12" x14ac:dyDescent="0.3">
      <c r="A213" s="45"/>
      <c r="B213" s="45"/>
      <c r="C213" s="45" t="s">
        <v>1707</v>
      </c>
      <c r="D213" s="45" t="s">
        <v>1710</v>
      </c>
      <c r="E213" s="57" t="s">
        <v>1605</v>
      </c>
      <c r="F213" s="57"/>
      <c r="G213" s="58"/>
      <c r="H213" s="47">
        <f t="shared" si="21"/>
        <v>0</v>
      </c>
      <c r="I213" s="60"/>
      <c r="J213" s="49">
        <f t="shared" si="22"/>
        <v>0</v>
      </c>
      <c r="K213" s="49">
        <f t="shared" si="19"/>
        <v>0</v>
      </c>
      <c r="L213" s="59"/>
    </row>
    <row r="214" spans="1:12" x14ac:dyDescent="0.3">
      <c r="A214" s="45"/>
      <c r="B214" s="45"/>
      <c r="C214" s="45" t="s">
        <v>1711</v>
      </c>
      <c r="D214" s="45" t="s">
        <v>1669</v>
      </c>
      <c r="E214" s="61" t="s">
        <v>1605</v>
      </c>
      <c r="F214" s="61" t="s">
        <v>1712</v>
      </c>
      <c r="G214" s="58">
        <f>1</f>
        <v>1</v>
      </c>
      <c r="H214" s="47">
        <f t="shared" si="21"/>
        <v>1</v>
      </c>
      <c r="I214" s="62"/>
      <c r="J214" s="49">
        <f t="shared" si="22"/>
        <v>0</v>
      </c>
      <c r="K214" s="49">
        <f t="shared" si="19"/>
        <v>1</v>
      </c>
      <c r="L214" s="60"/>
    </row>
    <row r="215" spans="1:12" x14ac:dyDescent="0.3">
      <c r="A215" s="45"/>
      <c r="B215" s="45"/>
      <c r="C215" s="45" t="s">
        <v>1713</v>
      </c>
      <c r="D215" s="45" t="s">
        <v>1669</v>
      </c>
      <c r="E215" s="61" t="s">
        <v>1605</v>
      </c>
      <c r="F215" s="61"/>
      <c r="G215" s="58"/>
      <c r="H215" s="47">
        <f t="shared" si="21"/>
        <v>0</v>
      </c>
      <c r="I215" s="62"/>
      <c r="J215" s="49">
        <f t="shared" si="22"/>
        <v>0</v>
      </c>
      <c r="K215" s="49">
        <f t="shared" si="19"/>
        <v>0</v>
      </c>
      <c r="L215" s="60"/>
    </row>
    <row r="216" spans="1:12" x14ac:dyDescent="0.3">
      <c r="A216" s="45"/>
      <c r="B216" s="45"/>
      <c r="C216" s="45" t="s">
        <v>1670</v>
      </c>
      <c r="D216" s="45" t="s">
        <v>1669</v>
      </c>
      <c r="E216" s="61" t="s">
        <v>1605</v>
      </c>
      <c r="F216" s="61"/>
      <c r="G216" s="58"/>
      <c r="H216" s="47">
        <f t="shared" si="21"/>
        <v>0</v>
      </c>
      <c r="I216" s="62"/>
      <c r="J216" s="49">
        <f t="shared" si="22"/>
        <v>0</v>
      </c>
      <c r="K216" s="49">
        <f t="shared" si="19"/>
        <v>0</v>
      </c>
      <c r="L216" s="60"/>
    </row>
    <row r="217" spans="1:12" x14ac:dyDescent="0.3">
      <c r="A217" s="45"/>
      <c r="B217" s="45"/>
      <c r="C217" s="45" t="s">
        <v>1672</v>
      </c>
      <c r="D217" s="45" t="s">
        <v>1679</v>
      </c>
      <c r="E217" s="61" t="s">
        <v>74</v>
      </c>
      <c r="F217" s="61"/>
      <c r="G217" s="58"/>
      <c r="H217" s="47">
        <f t="shared" si="21"/>
        <v>0</v>
      </c>
      <c r="I217" s="62">
        <v>0.1</v>
      </c>
      <c r="J217" s="49">
        <f t="shared" si="22"/>
        <v>0</v>
      </c>
      <c r="K217" s="49">
        <f t="shared" si="19"/>
        <v>0</v>
      </c>
      <c r="L217" s="60"/>
    </row>
    <row r="218" spans="1:12" x14ac:dyDescent="0.3">
      <c r="A218" s="45"/>
      <c r="B218" s="45"/>
      <c r="C218" s="45" t="s">
        <v>1672</v>
      </c>
      <c r="D218" s="45" t="s">
        <v>315</v>
      </c>
      <c r="E218" s="57" t="s">
        <v>74</v>
      </c>
      <c r="F218" s="57"/>
      <c r="G218" s="58"/>
      <c r="H218" s="47">
        <f t="shared" si="21"/>
        <v>0</v>
      </c>
      <c r="I218" s="62">
        <v>0.1</v>
      </c>
      <c r="J218" s="49">
        <f t="shared" si="22"/>
        <v>0</v>
      </c>
      <c r="K218" s="49">
        <f t="shared" si="19"/>
        <v>0</v>
      </c>
      <c r="L218" s="59"/>
    </row>
    <row r="219" spans="1:12" x14ac:dyDescent="0.3">
      <c r="A219" s="45"/>
      <c r="B219" s="45"/>
      <c r="C219" s="45" t="s">
        <v>1672</v>
      </c>
      <c r="D219" s="45" t="s">
        <v>265</v>
      </c>
      <c r="E219" s="57" t="s">
        <v>74</v>
      </c>
      <c r="F219" s="57" t="s">
        <v>1714</v>
      </c>
      <c r="G219" s="58">
        <f>0.31+0.3+1.25+1.36+0.8+1.8+0.45+0.15</f>
        <v>6.42</v>
      </c>
      <c r="H219" s="47">
        <f t="shared" si="21"/>
        <v>6.42</v>
      </c>
      <c r="I219" s="62">
        <v>0.1</v>
      </c>
      <c r="J219" s="49">
        <f t="shared" si="22"/>
        <v>0.6</v>
      </c>
      <c r="K219" s="49">
        <f t="shared" si="19"/>
        <v>8</v>
      </c>
      <c r="L219" s="59"/>
    </row>
    <row r="220" spans="1:12" x14ac:dyDescent="0.3">
      <c r="A220" s="45"/>
      <c r="B220" s="45"/>
      <c r="C220" s="45" t="s">
        <v>1672</v>
      </c>
      <c r="D220" s="45" t="s">
        <v>273</v>
      </c>
      <c r="E220" s="57" t="s">
        <v>74</v>
      </c>
      <c r="F220" s="57" t="s">
        <v>1715</v>
      </c>
      <c r="G220" s="58">
        <f>0.3+0.3</f>
        <v>0.6</v>
      </c>
      <c r="H220" s="47">
        <f t="shared" si="21"/>
        <v>0.6</v>
      </c>
      <c r="I220" s="62">
        <v>0.1</v>
      </c>
      <c r="J220" s="49">
        <f t="shared" si="22"/>
        <v>0.1</v>
      </c>
      <c r="K220" s="49">
        <f t="shared" si="19"/>
        <v>1</v>
      </c>
      <c r="L220" s="59"/>
    </row>
    <row r="221" spans="1:12" x14ac:dyDescent="0.3">
      <c r="A221" s="45"/>
      <c r="B221" s="45"/>
      <c r="C221" s="45" t="s">
        <v>1531</v>
      </c>
      <c r="D221" s="45" t="s">
        <v>1626</v>
      </c>
      <c r="E221" s="57" t="s">
        <v>1494</v>
      </c>
      <c r="F221" s="63"/>
      <c r="G221" s="58"/>
      <c r="H221" s="47">
        <f t="shared" si="21"/>
        <v>0</v>
      </c>
      <c r="I221" s="60"/>
      <c r="J221" s="49">
        <f t="shared" si="22"/>
        <v>0</v>
      </c>
      <c r="K221" s="49">
        <f t="shared" si="19"/>
        <v>0</v>
      </c>
      <c r="L221" s="59"/>
    </row>
    <row r="222" spans="1:12" x14ac:dyDescent="0.3">
      <c r="A222" s="45"/>
      <c r="B222" s="45"/>
      <c r="C222" s="45" t="s">
        <v>1531</v>
      </c>
      <c r="D222" s="45" t="s">
        <v>1532</v>
      </c>
      <c r="E222" s="61" t="s">
        <v>1493</v>
      </c>
      <c r="F222" s="61"/>
      <c r="G222" s="58"/>
      <c r="H222" s="47">
        <f t="shared" si="21"/>
        <v>0</v>
      </c>
      <c r="I222" s="60"/>
      <c r="J222" s="49">
        <f t="shared" si="22"/>
        <v>0</v>
      </c>
      <c r="K222" s="49">
        <f t="shared" si="19"/>
        <v>0</v>
      </c>
      <c r="L222" s="60"/>
    </row>
    <row r="223" spans="1:12" x14ac:dyDescent="0.3">
      <c r="A223" s="45"/>
      <c r="B223" s="45"/>
      <c r="C223" s="45" t="s">
        <v>1531</v>
      </c>
      <c r="D223" s="45" t="s">
        <v>1627</v>
      </c>
      <c r="E223" s="61" t="s">
        <v>1494</v>
      </c>
      <c r="F223" s="61"/>
      <c r="G223" s="58"/>
      <c r="H223" s="47">
        <f t="shared" si="21"/>
        <v>0</v>
      </c>
      <c r="I223" s="60"/>
      <c r="J223" s="49">
        <f t="shared" si="22"/>
        <v>0</v>
      </c>
      <c r="K223" s="49">
        <f t="shared" si="19"/>
        <v>0</v>
      </c>
      <c r="L223" s="60"/>
    </row>
    <row r="224" spans="1:12" x14ac:dyDescent="0.3">
      <c r="A224" s="45"/>
      <c r="B224" s="45"/>
      <c r="C224" s="45" t="s">
        <v>1531</v>
      </c>
      <c r="D224" s="45" t="s">
        <v>1716</v>
      </c>
      <c r="E224" s="61" t="s">
        <v>1494</v>
      </c>
      <c r="F224" s="61"/>
      <c r="G224" s="58"/>
      <c r="H224" s="47">
        <f t="shared" si="21"/>
        <v>0</v>
      </c>
      <c r="I224" s="60"/>
      <c r="J224" s="49">
        <f t="shared" si="22"/>
        <v>0</v>
      </c>
      <c r="K224" s="49">
        <f t="shared" si="19"/>
        <v>0</v>
      </c>
      <c r="L224" s="60"/>
    </row>
    <row r="225" spans="1:12" x14ac:dyDescent="0.3">
      <c r="A225" s="45"/>
      <c r="B225" s="45"/>
      <c r="C225" s="45" t="s">
        <v>1531</v>
      </c>
      <c r="D225" s="45" t="s">
        <v>1535</v>
      </c>
      <c r="E225" s="61" t="s">
        <v>1494</v>
      </c>
      <c r="F225" s="61"/>
      <c r="G225" s="58"/>
      <c r="H225" s="47">
        <f t="shared" si="21"/>
        <v>0</v>
      </c>
      <c r="I225" s="60"/>
      <c r="J225" s="49">
        <f>ROUND((H225*I225),1)</f>
        <v>0</v>
      </c>
      <c r="K225" s="49">
        <f t="shared" si="19"/>
        <v>0</v>
      </c>
      <c r="L225" s="60"/>
    </row>
    <row r="226" spans="1:12" x14ac:dyDescent="0.3">
      <c r="A226" s="45"/>
      <c r="B226" s="45"/>
      <c r="C226" s="45" t="s">
        <v>1531</v>
      </c>
      <c r="D226" s="45" t="s">
        <v>1630</v>
      </c>
      <c r="E226" s="61" t="s">
        <v>1494</v>
      </c>
      <c r="F226" s="61"/>
      <c r="G226" s="58"/>
      <c r="H226" s="47">
        <f t="shared" si="21"/>
        <v>0</v>
      </c>
      <c r="I226" s="60"/>
      <c r="J226" s="49">
        <f t="shared" ref="J226:J260" si="23">ROUND((H226*I226),1)</f>
        <v>0</v>
      </c>
      <c r="K226" s="49">
        <f t="shared" si="19"/>
        <v>0</v>
      </c>
      <c r="L226" s="60"/>
    </row>
    <row r="227" spans="1:12" x14ac:dyDescent="0.3">
      <c r="A227" s="45"/>
      <c r="B227" s="45"/>
      <c r="C227" s="45" t="s">
        <v>1538</v>
      </c>
      <c r="D227" s="45" t="s">
        <v>1631</v>
      </c>
      <c r="E227" s="61" t="s">
        <v>1494</v>
      </c>
      <c r="F227" s="61"/>
      <c r="G227" s="58"/>
      <c r="H227" s="47">
        <f t="shared" si="21"/>
        <v>0</v>
      </c>
      <c r="I227" s="60"/>
      <c r="J227" s="49">
        <f t="shared" si="23"/>
        <v>0</v>
      </c>
      <c r="K227" s="49">
        <f t="shared" si="19"/>
        <v>0</v>
      </c>
      <c r="L227" s="60"/>
    </row>
    <row r="228" spans="1:12" x14ac:dyDescent="0.3">
      <c r="A228" s="45"/>
      <c r="B228" s="45"/>
      <c r="C228" s="45" t="s">
        <v>1538</v>
      </c>
      <c r="D228" s="45" t="s">
        <v>1541</v>
      </c>
      <c r="E228" s="61" t="s">
        <v>1494</v>
      </c>
      <c r="F228" s="61"/>
      <c r="G228" s="58"/>
      <c r="H228" s="47">
        <f t="shared" si="21"/>
        <v>0</v>
      </c>
      <c r="I228" s="60"/>
      <c r="J228" s="49">
        <f t="shared" si="23"/>
        <v>0</v>
      </c>
      <c r="K228" s="49">
        <f t="shared" si="19"/>
        <v>0</v>
      </c>
      <c r="L228" s="60"/>
    </row>
    <row r="229" spans="1:12" x14ac:dyDescent="0.3">
      <c r="A229" s="45"/>
      <c r="B229" s="45"/>
      <c r="C229" s="45" t="s">
        <v>1538</v>
      </c>
      <c r="D229" s="45" t="s">
        <v>1543</v>
      </c>
      <c r="E229" s="61" t="s">
        <v>1494</v>
      </c>
      <c r="F229" s="61"/>
      <c r="G229" s="58"/>
      <c r="H229" s="47">
        <f t="shared" si="21"/>
        <v>0</v>
      </c>
      <c r="I229" s="60"/>
      <c r="J229" s="49">
        <f t="shared" si="23"/>
        <v>0</v>
      </c>
      <c r="K229" s="49">
        <f t="shared" ref="K229:K295" si="24">ROUNDUP((H229+J229),0)</f>
        <v>0</v>
      </c>
      <c r="L229" s="60"/>
    </row>
    <row r="230" spans="1:12" x14ac:dyDescent="0.3">
      <c r="A230" s="45"/>
      <c r="B230" s="45"/>
      <c r="C230" s="45" t="s">
        <v>1549</v>
      </c>
      <c r="D230" s="45" t="s">
        <v>1632</v>
      </c>
      <c r="E230" s="61" t="s">
        <v>1494</v>
      </c>
      <c r="F230" s="61" t="s">
        <v>1497</v>
      </c>
      <c r="G230" s="58">
        <f>1+1+1+1+1+1+1</f>
        <v>7</v>
      </c>
      <c r="H230" s="47">
        <f t="shared" si="21"/>
        <v>7</v>
      </c>
      <c r="I230" s="60"/>
      <c r="J230" s="49">
        <f t="shared" si="23"/>
        <v>0</v>
      </c>
      <c r="K230" s="49">
        <f t="shared" si="24"/>
        <v>7</v>
      </c>
      <c r="L230" s="60"/>
    </row>
    <row r="231" spans="1:12" x14ac:dyDescent="0.3">
      <c r="A231" s="45"/>
      <c r="B231" s="45"/>
      <c r="C231" s="45" t="s">
        <v>1549</v>
      </c>
      <c r="D231" s="45" t="s">
        <v>1633</v>
      </c>
      <c r="E231" s="61" t="s">
        <v>1494</v>
      </c>
      <c r="F231" s="61"/>
      <c r="G231" s="58"/>
      <c r="H231" s="47">
        <f t="shared" si="21"/>
        <v>0</v>
      </c>
      <c r="I231" s="60"/>
      <c r="J231" s="49">
        <f t="shared" si="23"/>
        <v>0</v>
      </c>
      <c r="K231" s="49">
        <f t="shared" si="24"/>
        <v>0</v>
      </c>
      <c r="L231" s="60"/>
    </row>
    <row r="232" spans="1:12" x14ac:dyDescent="0.3">
      <c r="A232" s="45"/>
      <c r="B232" s="45"/>
      <c r="C232" s="45" t="s">
        <v>1549</v>
      </c>
      <c r="D232" s="45" t="s">
        <v>1634</v>
      </c>
      <c r="E232" s="61" t="s">
        <v>1494</v>
      </c>
      <c r="F232" s="61">
        <v>1</v>
      </c>
      <c r="G232" s="58">
        <f>1</f>
        <v>1</v>
      </c>
      <c r="H232" s="47">
        <f t="shared" si="21"/>
        <v>1</v>
      </c>
      <c r="I232" s="60"/>
      <c r="J232" s="49">
        <f t="shared" si="23"/>
        <v>0</v>
      </c>
      <c r="K232" s="49">
        <f t="shared" si="24"/>
        <v>1</v>
      </c>
      <c r="L232" s="60"/>
    </row>
    <row r="233" spans="1:12" x14ac:dyDescent="0.3">
      <c r="A233" s="45"/>
      <c r="B233" s="45"/>
      <c r="C233" s="45" t="s">
        <v>1549</v>
      </c>
      <c r="D233" s="45" t="s">
        <v>1635</v>
      </c>
      <c r="E233" s="61" t="s">
        <v>1494</v>
      </c>
      <c r="F233" s="61">
        <v>1</v>
      </c>
      <c r="G233" s="58">
        <f>1</f>
        <v>1</v>
      </c>
      <c r="H233" s="47">
        <f t="shared" si="21"/>
        <v>1</v>
      </c>
      <c r="I233" s="60"/>
      <c r="J233" s="49">
        <f t="shared" si="23"/>
        <v>0</v>
      </c>
      <c r="K233" s="49">
        <f t="shared" si="24"/>
        <v>1</v>
      </c>
      <c r="L233" s="60"/>
    </row>
    <row r="234" spans="1:12" x14ac:dyDescent="0.3">
      <c r="A234" s="45"/>
      <c r="B234" s="45"/>
      <c r="C234" s="45" t="s">
        <v>1558</v>
      </c>
      <c r="D234" s="45" t="s">
        <v>1522</v>
      </c>
      <c r="E234" s="61" t="s">
        <v>1494</v>
      </c>
      <c r="F234" s="61"/>
      <c r="G234" s="58"/>
      <c r="H234" s="47">
        <f t="shared" si="21"/>
        <v>0</v>
      </c>
      <c r="I234" s="60"/>
      <c r="J234" s="49">
        <f t="shared" si="23"/>
        <v>0</v>
      </c>
      <c r="K234" s="49">
        <f t="shared" si="24"/>
        <v>0</v>
      </c>
      <c r="L234" s="60"/>
    </row>
    <row r="235" spans="1:12" x14ac:dyDescent="0.3">
      <c r="A235" s="45"/>
      <c r="B235" s="45"/>
      <c r="C235" s="45" t="s">
        <v>1558</v>
      </c>
      <c r="D235" s="45" t="s">
        <v>1637</v>
      </c>
      <c r="E235" s="61" t="s">
        <v>1494</v>
      </c>
      <c r="F235" s="61"/>
      <c r="G235" s="58"/>
      <c r="H235" s="47">
        <f t="shared" si="21"/>
        <v>0</v>
      </c>
      <c r="I235" s="60"/>
      <c r="J235" s="49">
        <f t="shared" si="23"/>
        <v>0</v>
      </c>
      <c r="K235" s="49">
        <f t="shared" si="24"/>
        <v>0</v>
      </c>
      <c r="L235" s="60"/>
    </row>
    <row r="236" spans="1:12" x14ac:dyDescent="0.3">
      <c r="A236" s="45"/>
      <c r="B236" s="45"/>
      <c r="C236" s="45" t="s">
        <v>1558</v>
      </c>
      <c r="D236" s="45" t="s">
        <v>1503</v>
      </c>
      <c r="E236" s="57" t="s">
        <v>1494</v>
      </c>
      <c r="F236" s="57" t="s">
        <v>1717</v>
      </c>
      <c r="G236" s="58">
        <f>1+1+1</f>
        <v>3</v>
      </c>
      <c r="H236" s="47">
        <f t="shared" si="21"/>
        <v>3</v>
      </c>
      <c r="I236" s="60"/>
      <c r="J236" s="49">
        <f t="shared" si="23"/>
        <v>0</v>
      </c>
      <c r="K236" s="49">
        <f t="shared" si="24"/>
        <v>3</v>
      </c>
      <c r="L236" s="59"/>
    </row>
    <row r="237" spans="1:12" x14ac:dyDescent="0.3">
      <c r="A237" s="45"/>
      <c r="B237" s="45"/>
      <c r="C237" s="45" t="s">
        <v>1558</v>
      </c>
      <c r="D237" s="45" t="s">
        <v>1506</v>
      </c>
      <c r="E237" s="57" t="s">
        <v>1494</v>
      </c>
      <c r="F237" s="57"/>
      <c r="G237" s="58"/>
      <c r="H237" s="47">
        <f t="shared" si="21"/>
        <v>0</v>
      </c>
      <c r="I237" s="60"/>
      <c r="J237" s="49">
        <f t="shared" si="23"/>
        <v>0</v>
      </c>
      <c r="K237" s="49">
        <f t="shared" si="24"/>
        <v>0</v>
      </c>
      <c r="L237" s="59"/>
    </row>
    <row r="238" spans="1:12" x14ac:dyDescent="0.3">
      <c r="A238" s="45"/>
      <c r="B238" s="45"/>
      <c r="C238" s="45" t="s">
        <v>1559</v>
      </c>
      <c r="D238" s="45" t="s">
        <v>1560</v>
      </c>
      <c r="E238" s="57" t="s">
        <v>1561</v>
      </c>
      <c r="F238" s="57" t="s">
        <v>1718</v>
      </c>
      <c r="G238" s="58">
        <f>(3)*2</f>
        <v>6</v>
      </c>
      <c r="H238" s="47">
        <f t="shared" si="21"/>
        <v>6</v>
      </c>
      <c r="I238" s="64"/>
      <c r="J238" s="49">
        <f t="shared" si="23"/>
        <v>0</v>
      </c>
      <c r="K238" s="49">
        <f t="shared" si="24"/>
        <v>6</v>
      </c>
      <c r="L238" s="59"/>
    </row>
    <row r="239" spans="1:12" ht="17.45" customHeight="1" x14ac:dyDescent="0.3">
      <c r="A239" s="45"/>
      <c r="B239" s="45"/>
      <c r="C239" s="45" t="s">
        <v>1563</v>
      </c>
      <c r="D239" s="45" t="s">
        <v>1564</v>
      </c>
      <c r="E239" s="57" t="s">
        <v>1494</v>
      </c>
      <c r="F239" s="57" t="s">
        <v>1719</v>
      </c>
      <c r="G239" s="58">
        <f>(0.19*6.4)+(0.153*0.6)</f>
        <v>1.3078000000000003</v>
      </c>
      <c r="H239" s="47">
        <f t="shared" si="21"/>
        <v>1.3078000000000003</v>
      </c>
      <c r="I239" s="48">
        <v>0.1</v>
      </c>
      <c r="J239" s="49">
        <f t="shared" si="23"/>
        <v>0.1</v>
      </c>
      <c r="K239" s="49">
        <f t="shared" si="24"/>
        <v>2</v>
      </c>
      <c r="L239" s="59"/>
    </row>
    <row r="240" spans="1:12" x14ac:dyDescent="0.3">
      <c r="A240" s="45"/>
      <c r="B240" s="45"/>
      <c r="C240" s="45" t="s">
        <v>1566</v>
      </c>
      <c r="D240" s="45" t="s">
        <v>1567</v>
      </c>
      <c r="E240" s="61" t="s">
        <v>1568</v>
      </c>
      <c r="F240" s="61" t="s">
        <v>1685</v>
      </c>
      <c r="G240" s="58">
        <f>(0.3+0.3+0.3)*3</f>
        <v>2.6999999999999997</v>
      </c>
      <c r="H240" s="47">
        <f t="shared" si="21"/>
        <v>2.6999999999999997</v>
      </c>
      <c r="I240" s="48">
        <v>0.1</v>
      </c>
      <c r="J240" s="49">
        <f t="shared" si="23"/>
        <v>0.3</v>
      </c>
      <c r="K240" s="49">
        <f t="shared" si="24"/>
        <v>3</v>
      </c>
      <c r="L240" s="60"/>
    </row>
    <row r="241" spans="1:12" x14ac:dyDescent="0.3">
      <c r="A241" s="45"/>
      <c r="B241" s="45"/>
      <c r="C241" s="45" t="s">
        <v>1570</v>
      </c>
      <c r="D241" s="45" t="s">
        <v>1571</v>
      </c>
      <c r="E241" s="61" t="s">
        <v>1572</v>
      </c>
      <c r="F241" s="61" t="s">
        <v>1720</v>
      </c>
      <c r="G241" s="75">
        <f>2.7/1000</f>
        <v>2.7000000000000001E-3</v>
      </c>
      <c r="H241" s="76">
        <f t="shared" si="21"/>
        <v>2.7000000000000001E-3</v>
      </c>
      <c r="I241" s="60"/>
      <c r="J241" s="49">
        <f t="shared" si="23"/>
        <v>0</v>
      </c>
      <c r="K241" s="77">
        <f t="shared" ref="K241" si="25">H241+J241</f>
        <v>2.7000000000000001E-3</v>
      </c>
      <c r="L241" s="60"/>
    </row>
    <row r="242" spans="1:12" x14ac:dyDescent="0.3">
      <c r="A242" s="45"/>
      <c r="B242" s="45"/>
      <c r="C242" s="45" t="s">
        <v>1575</v>
      </c>
      <c r="D242" s="45" t="s">
        <v>1576</v>
      </c>
      <c r="E242" s="61" t="s">
        <v>1494</v>
      </c>
      <c r="F242" s="61" t="s">
        <v>1643</v>
      </c>
      <c r="G242" s="58">
        <f>4</f>
        <v>4</v>
      </c>
      <c r="H242" s="47">
        <f t="shared" si="21"/>
        <v>4</v>
      </c>
      <c r="I242" s="62"/>
      <c r="J242" s="49">
        <f t="shared" si="23"/>
        <v>0</v>
      </c>
      <c r="K242" s="49">
        <f t="shared" si="24"/>
        <v>4</v>
      </c>
      <c r="L242" s="60"/>
    </row>
    <row r="243" spans="1:12" x14ac:dyDescent="0.3">
      <c r="A243" s="45"/>
      <c r="B243" s="45"/>
      <c r="C243" s="45" t="s">
        <v>1578</v>
      </c>
      <c r="D243" s="45" t="s">
        <v>1579</v>
      </c>
      <c r="E243" s="57" t="s">
        <v>1494</v>
      </c>
      <c r="F243" s="57" t="s">
        <v>1690</v>
      </c>
      <c r="G243" s="70">
        <f>6*4</f>
        <v>24</v>
      </c>
      <c r="H243" s="47">
        <f t="shared" si="21"/>
        <v>24</v>
      </c>
      <c r="I243" s="48">
        <v>0.1</v>
      </c>
      <c r="J243" s="49">
        <f t="shared" si="23"/>
        <v>2.4</v>
      </c>
      <c r="K243" s="49">
        <f t="shared" si="24"/>
        <v>27</v>
      </c>
      <c r="L243" s="59"/>
    </row>
    <row r="244" spans="1:12" x14ac:dyDescent="0.3">
      <c r="A244" s="45"/>
      <c r="B244" s="45"/>
      <c r="C244" s="51" t="s">
        <v>1581</v>
      </c>
      <c r="D244" s="51" t="s">
        <v>1582</v>
      </c>
      <c r="E244" s="71" t="s">
        <v>1561</v>
      </c>
      <c r="F244" s="71"/>
      <c r="G244" s="72"/>
      <c r="H244" s="53">
        <f t="shared" si="21"/>
        <v>0</v>
      </c>
      <c r="I244" s="54"/>
      <c r="J244" s="55">
        <f t="shared" si="23"/>
        <v>0</v>
      </c>
      <c r="K244" s="55">
        <f t="shared" si="24"/>
        <v>0</v>
      </c>
      <c r="L244" s="73"/>
    </row>
    <row r="245" spans="1:12" x14ac:dyDescent="0.3">
      <c r="A245" s="45"/>
      <c r="B245" s="45"/>
      <c r="C245" s="51" t="s">
        <v>1581</v>
      </c>
      <c r="D245" s="51" t="s">
        <v>1583</v>
      </c>
      <c r="E245" s="71" t="s">
        <v>1561</v>
      </c>
      <c r="F245" s="71">
        <v>1</v>
      </c>
      <c r="G245" s="72">
        <f>1</f>
        <v>1</v>
      </c>
      <c r="H245" s="53">
        <f t="shared" si="21"/>
        <v>1</v>
      </c>
      <c r="I245" s="54"/>
      <c r="J245" s="55">
        <f t="shared" si="23"/>
        <v>0</v>
      </c>
      <c r="K245" s="55">
        <f t="shared" si="24"/>
        <v>1</v>
      </c>
      <c r="L245" s="73"/>
    </row>
    <row r="246" spans="1:12" x14ac:dyDescent="0.3">
      <c r="A246" s="45"/>
      <c r="B246" s="45"/>
      <c r="C246" s="51" t="s">
        <v>1581</v>
      </c>
      <c r="D246" s="51" t="s">
        <v>1584</v>
      </c>
      <c r="E246" s="71" t="s">
        <v>1561</v>
      </c>
      <c r="F246" s="71"/>
      <c r="G246" s="72"/>
      <c r="H246" s="53">
        <f t="shared" si="21"/>
        <v>0</v>
      </c>
      <c r="I246" s="54"/>
      <c r="J246" s="55">
        <f t="shared" si="23"/>
        <v>0</v>
      </c>
      <c r="K246" s="55">
        <f t="shared" si="24"/>
        <v>0</v>
      </c>
      <c r="L246" s="73"/>
    </row>
    <row r="247" spans="1:12" x14ac:dyDescent="0.3">
      <c r="A247" s="45"/>
      <c r="B247" s="45"/>
      <c r="C247" s="51" t="s">
        <v>1581</v>
      </c>
      <c r="D247" s="51" t="s">
        <v>1585</v>
      </c>
      <c r="E247" s="71" t="s">
        <v>1561</v>
      </c>
      <c r="F247" s="71"/>
      <c r="G247" s="72"/>
      <c r="H247" s="53">
        <f t="shared" si="21"/>
        <v>0</v>
      </c>
      <c r="I247" s="54"/>
      <c r="J247" s="55">
        <f t="shared" si="23"/>
        <v>0</v>
      </c>
      <c r="K247" s="55">
        <f t="shared" si="24"/>
        <v>0</v>
      </c>
      <c r="L247" s="73"/>
    </row>
    <row r="248" spans="1:12" x14ac:dyDescent="0.3">
      <c r="A248" s="45"/>
      <c r="B248" s="45"/>
      <c r="C248" s="51" t="s">
        <v>1587</v>
      </c>
      <c r="D248" s="51" t="s">
        <v>1721</v>
      </c>
      <c r="E248" s="71" t="s">
        <v>1589</v>
      </c>
      <c r="F248" s="71" t="s">
        <v>1504</v>
      </c>
      <c r="G248" s="72">
        <f>1+1</f>
        <v>2</v>
      </c>
      <c r="H248" s="53">
        <f t="shared" si="21"/>
        <v>2</v>
      </c>
      <c r="I248" s="54"/>
      <c r="J248" s="55">
        <f t="shared" si="23"/>
        <v>0</v>
      </c>
      <c r="K248" s="55">
        <f t="shared" si="24"/>
        <v>2</v>
      </c>
      <c r="L248" s="73"/>
    </row>
    <row r="249" spans="1:12" x14ac:dyDescent="0.3">
      <c r="A249" s="45"/>
      <c r="B249" s="45"/>
      <c r="C249" s="51" t="s">
        <v>1590</v>
      </c>
      <c r="D249" s="51" t="s">
        <v>1591</v>
      </c>
      <c r="E249" s="51" t="s">
        <v>1592</v>
      </c>
      <c r="F249" s="51" t="s">
        <v>1722</v>
      </c>
      <c r="G249" s="52">
        <f>((50*20)*2)+((50*20)*2)+((100*20)*2)+((50*20)*2)</f>
        <v>10000</v>
      </c>
      <c r="H249" s="53">
        <f>G249</f>
        <v>10000</v>
      </c>
      <c r="I249" s="54">
        <v>0.1</v>
      </c>
      <c r="J249" s="55">
        <f t="shared" si="23"/>
        <v>1000</v>
      </c>
      <c r="K249" s="55">
        <f t="shared" si="24"/>
        <v>11000</v>
      </c>
      <c r="L249" s="56" t="s">
        <v>1723</v>
      </c>
    </row>
    <row r="250" spans="1:12" x14ac:dyDescent="0.3">
      <c r="A250" s="45"/>
      <c r="B250" s="45"/>
      <c r="C250" s="45" t="s">
        <v>1594</v>
      </c>
      <c r="D250" s="45" t="s">
        <v>1692</v>
      </c>
      <c r="E250" s="57" t="s">
        <v>1597</v>
      </c>
      <c r="F250" s="57" t="s">
        <v>1681</v>
      </c>
      <c r="G250" s="58">
        <f>1+1+1</f>
        <v>3</v>
      </c>
      <c r="H250" s="47">
        <f t="shared" ref="H250:H376" si="26">G250</f>
        <v>3</v>
      </c>
      <c r="I250" s="48"/>
      <c r="J250" s="49">
        <f t="shared" si="23"/>
        <v>0</v>
      </c>
      <c r="K250" s="49">
        <f t="shared" si="24"/>
        <v>3</v>
      </c>
      <c r="L250" s="59"/>
    </row>
    <row r="251" spans="1:12" x14ac:dyDescent="0.3">
      <c r="A251" s="45"/>
      <c r="B251" s="45"/>
      <c r="C251" s="45" t="s">
        <v>1598</v>
      </c>
      <c r="D251" s="45" t="s">
        <v>1496</v>
      </c>
      <c r="E251" s="57" t="s">
        <v>1599</v>
      </c>
      <c r="F251" s="57" t="s">
        <v>1725</v>
      </c>
      <c r="G251" s="58">
        <f>1.5+3.7+4.1+4.7+3.5</f>
        <v>17.5</v>
      </c>
      <c r="H251" s="47">
        <f t="shared" si="26"/>
        <v>17.5</v>
      </c>
      <c r="I251" s="48">
        <v>0.1</v>
      </c>
      <c r="J251" s="49">
        <f t="shared" si="23"/>
        <v>1.8</v>
      </c>
      <c r="K251" s="49">
        <f t="shared" si="24"/>
        <v>20</v>
      </c>
      <c r="L251" s="59"/>
    </row>
    <row r="252" spans="1:12" x14ac:dyDescent="0.3">
      <c r="A252" s="45"/>
      <c r="B252" s="45"/>
      <c r="C252" s="45" t="s">
        <v>1693</v>
      </c>
      <c r="D252" s="45" t="s">
        <v>1602</v>
      </c>
      <c r="E252" s="57" t="s">
        <v>1605</v>
      </c>
      <c r="F252" s="57">
        <v>1</v>
      </c>
      <c r="G252" s="58">
        <f>1</f>
        <v>1</v>
      </c>
      <c r="H252" s="47">
        <f t="shared" si="26"/>
        <v>1</v>
      </c>
      <c r="I252" s="60"/>
      <c r="J252" s="49">
        <f t="shared" si="23"/>
        <v>0</v>
      </c>
      <c r="K252" s="49">
        <f t="shared" si="24"/>
        <v>1</v>
      </c>
      <c r="L252" s="60"/>
    </row>
    <row r="253" spans="1:12" x14ac:dyDescent="0.3">
      <c r="A253" s="45"/>
      <c r="B253" s="45"/>
      <c r="C253" s="45" t="s">
        <v>1655</v>
      </c>
      <c r="D253" s="45" t="s">
        <v>1602</v>
      </c>
      <c r="E253" s="61" t="s">
        <v>1605</v>
      </c>
      <c r="F253" s="61" t="s">
        <v>1504</v>
      </c>
      <c r="G253" s="58">
        <f>1+1</f>
        <v>2</v>
      </c>
      <c r="H253" s="47">
        <f t="shared" si="26"/>
        <v>2</v>
      </c>
      <c r="I253" s="60"/>
      <c r="J253" s="49">
        <f t="shared" si="23"/>
        <v>0</v>
      </c>
      <c r="K253" s="49">
        <f t="shared" si="24"/>
        <v>2</v>
      </c>
      <c r="L253" s="50"/>
    </row>
    <row r="254" spans="1:12" x14ac:dyDescent="0.3">
      <c r="A254" s="45"/>
      <c r="B254" s="45"/>
      <c r="C254" s="45" t="s">
        <v>1604</v>
      </c>
      <c r="D254" s="45" t="s">
        <v>1602</v>
      </c>
      <c r="E254" s="61" t="s">
        <v>1494</v>
      </c>
      <c r="F254" s="61" t="s">
        <v>1504</v>
      </c>
      <c r="G254" s="58">
        <f>1+1</f>
        <v>2</v>
      </c>
      <c r="H254" s="47">
        <f t="shared" si="26"/>
        <v>2</v>
      </c>
      <c r="I254" s="62"/>
      <c r="J254" s="49">
        <f>ROUND((H254*I254),1)</f>
        <v>0</v>
      </c>
      <c r="K254" s="49">
        <f t="shared" si="24"/>
        <v>2</v>
      </c>
      <c r="L254" s="59"/>
    </row>
    <row r="255" spans="1:12" x14ac:dyDescent="0.3">
      <c r="A255" s="45"/>
      <c r="B255" s="45"/>
      <c r="C255" s="45" t="s">
        <v>1607</v>
      </c>
      <c r="D255" s="45" t="s">
        <v>1608</v>
      </c>
      <c r="E255" s="57" t="s">
        <v>1494</v>
      </c>
      <c r="F255" s="57">
        <v>1</v>
      </c>
      <c r="G255" s="58">
        <f>1</f>
        <v>1</v>
      </c>
      <c r="H255" s="47">
        <f t="shared" si="26"/>
        <v>1</v>
      </c>
      <c r="I255" s="64"/>
      <c r="J255" s="49">
        <f t="shared" si="23"/>
        <v>0</v>
      </c>
      <c r="K255" s="49">
        <f t="shared" si="24"/>
        <v>1</v>
      </c>
      <c r="L255" s="59"/>
    </row>
    <row r="256" spans="1:12" x14ac:dyDescent="0.3">
      <c r="A256" s="45"/>
      <c r="B256" s="45"/>
      <c r="C256" s="45" t="s">
        <v>1609</v>
      </c>
      <c r="D256" s="45" t="s">
        <v>1694</v>
      </c>
      <c r="E256" s="57" t="s">
        <v>1605</v>
      </c>
      <c r="F256" s="57">
        <v>1</v>
      </c>
      <c r="G256" s="58">
        <f>1</f>
        <v>1</v>
      </c>
      <c r="H256" s="47">
        <f t="shared" si="26"/>
        <v>1</v>
      </c>
      <c r="I256" s="64"/>
      <c r="J256" s="49">
        <f t="shared" si="23"/>
        <v>0</v>
      </c>
      <c r="K256" s="49">
        <f t="shared" si="24"/>
        <v>1</v>
      </c>
      <c r="L256" s="59"/>
    </row>
    <row r="257" spans="1:12" x14ac:dyDescent="0.3">
      <c r="A257" s="45"/>
      <c r="B257" s="45"/>
      <c r="C257" s="45" t="s">
        <v>1726</v>
      </c>
      <c r="D257" s="45" t="s">
        <v>1612</v>
      </c>
      <c r="E257" s="57" t="s">
        <v>1605</v>
      </c>
      <c r="F257" s="57">
        <v>1</v>
      </c>
      <c r="G257" s="58">
        <f>1</f>
        <v>1</v>
      </c>
      <c r="H257" s="47">
        <f t="shared" si="26"/>
        <v>1</v>
      </c>
      <c r="I257" s="60"/>
      <c r="J257" s="49">
        <f t="shared" si="23"/>
        <v>0</v>
      </c>
      <c r="K257" s="49">
        <f t="shared" si="24"/>
        <v>1</v>
      </c>
      <c r="L257" s="60"/>
    </row>
    <row r="258" spans="1:12" x14ac:dyDescent="0.3">
      <c r="A258" s="45"/>
      <c r="B258" s="45"/>
      <c r="C258" s="45" t="s">
        <v>1613</v>
      </c>
      <c r="D258" s="45" t="s">
        <v>1617</v>
      </c>
      <c r="E258" s="57" t="s">
        <v>1568</v>
      </c>
      <c r="F258" s="63" t="s">
        <v>1615</v>
      </c>
      <c r="G258" s="58">
        <f>3.5</f>
        <v>3.5</v>
      </c>
      <c r="H258" s="47">
        <f t="shared" si="26"/>
        <v>3.5</v>
      </c>
      <c r="I258" s="60"/>
      <c r="J258" s="49">
        <f t="shared" si="23"/>
        <v>0</v>
      </c>
      <c r="K258" s="49">
        <f t="shared" si="24"/>
        <v>4</v>
      </c>
      <c r="L258" s="50"/>
    </row>
    <row r="259" spans="1:12" x14ac:dyDescent="0.3">
      <c r="A259" s="45"/>
      <c r="B259" s="45"/>
      <c r="C259" s="45" t="s">
        <v>1662</v>
      </c>
      <c r="D259" s="45" t="s">
        <v>1617</v>
      </c>
      <c r="E259" s="61" t="s">
        <v>1494</v>
      </c>
      <c r="F259" s="61" t="s">
        <v>1504</v>
      </c>
      <c r="G259" s="58">
        <f>1+1</f>
        <v>2</v>
      </c>
      <c r="H259" s="47">
        <f t="shared" si="26"/>
        <v>2</v>
      </c>
      <c r="I259" s="60"/>
      <c r="J259" s="49">
        <f t="shared" si="23"/>
        <v>0</v>
      </c>
      <c r="K259" s="49">
        <f t="shared" si="24"/>
        <v>2</v>
      </c>
      <c r="L259" s="59"/>
    </row>
    <row r="260" spans="1:12" x14ac:dyDescent="0.3">
      <c r="A260" s="45"/>
      <c r="B260" s="45"/>
      <c r="C260" s="45" t="s">
        <v>1663</v>
      </c>
      <c r="D260" s="45" t="s">
        <v>1617</v>
      </c>
      <c r="E260" s="61" t="s">
        <v>1494</v>
      </c>
      <c r="F260" s="61">
        <v>1</v>
      </c>
      <c r="G260" s="58">
        <f>1</f>
        <v>1</v>
      </c>
      <c r="H260" s="47">
        <f t="shared" si="26"/>
        <v>1</v>
      </c>
      <c r="I260" s="60"/>
      <c r="J260" s="49">
        <f t="shared" si="23"/>
        <v>0</v>
      </c>
      <c r="K260" s="49">
        <f t="shared" si="24"/>
        <v>1</v>
      </c>
      <c r="L260" s="60"/>
    </row>
    <row r="261" spans="1:12" x14ac:dyDescent="0.3">
      <c r="A261" s="44" t="s">
        <v>1727</v>
      </c>
      <c r="B261" s="44" t="s">
        <v>1728</v>
      </c>
      <c r="C261" s="45" t="s">
        <v>1481</v>
      </c>
      <c r="D261" s="45" t="s">
        <v>1620</v>
      </c>
      <c r="E261" s="45" t="s">
        <v>1486</v>
      </c>
      <c r="F261" s="45"/>
      <c r="G261" s="46"/>
      <c r="H261" s="47">
        <f t="shared" si="26"/>
        <v>0</v>
      </c>
      <c r="I261" s="48"/>
      <c r="J261" s="49">
        <f>ROUND((H261*I261),1)</f>
        <v>0</v>
      </c>
      <c r="K261" s="49">
        <f t="shared" si="24"/>
        <v>0</v>
      </c>
      <c r="L261" s="50"/>
    </row>
    <row r="262" spans="1:12" x14ac:dyDescent="0.3">
      <c r="A262" s="45"/>
      <c r="B262" s="45"/>
      <c r="C262" s="45" t="s">
        <v>1481</v>
      </c>
      <c r="D262" s="45" t="s">
        <v>1485</v>
      </c>
      <c r="E262" s="45" t="s">
        <v>1483</v>
      </c>
      <c r="F262" s="45"/>
      <c r="G262" s="46"/>
      <c r="H262" s="47">
        <f t="shared" si="26"/>
        <v>0</v>
      </c>
      <c r="I262" s="48"/>
      <c r="J262" s="49">
        <f>ROUND((H262*I262),1)</f>
        <v>0</v>
      </c>
      <c r="K262" s="49">
        <f t="shared" si="24"/>
        <v>0</v>
      </c>
      <c r="L262" s="50"/>
    </row>
    <row r="263" spans="1:12" x14ac:dyDescent="0.3">
      <c r="A263" s="45"/>
      <c r="B263" s="45"/>
      <c r="C263" s="45" t="s">
        <v>1484</v>
      </c>
      <c r="D263" s="45" t="s">
        <v>1488</v>
      </c>
      <c r="E263" s="45" t="s">
        <v>1486</v>
      </c>
      <c r="F263" s="45"/>
      <c r="G263" s="46"/>
      <c r="H263" s="47">
        <f t="shared" si="26"/>
        <v>0</v>
      </c>
      <c r="I263" s="48"/>
      <c r="J263" s="49">
        <f t="shared" ref="J263:J288" si="27">ROUND((H263*I263),1)</f>
        <v>0</v>
      </c>
      <c r="K263" s="49">
        <f t="shared" si="24"/>
        <v>0</v>
      </c>
      <c r="L263" s="50"/>
    </row>
    <row r="264" spans="1:12" x14ac:dyDescent="0.3">
      <c r="A264" s="45"/>
      <c r="B264" s="45"/>
      <c r="C264" s="45" t="s">
        <v>1484</v>
      </c>
      <c r="D264" s="45" t="s">
        <v>1489</v>
      </c>
      <c r="E264" s="45" t="s">
        <v>1486</v>
      </c>
      <c r="F264" s="45"/>
      <c r="G264" s="46"/>
      <c r="H264" s="47">
        <f t="shared" si="26"/>
        <v>0</v>
      </c>
      <c r="I264" s="48"/>
      <c r="J264" s="49">
        <f t="shared" si="27"/>
        <v>0</v>
      </c>
      <c r="K264" s="49">
        <f t="shared" si="24"/>
        <v>0</v>
      </c>
      <c r="L264" s="50"/>
    </row>
    <row r="265" spans="1:12" x14ac:dyDescent="0.3">
      <c r="A265" s="45"/>
      <c r="B265" s="45"/>
      <c r="C265" s="45" t="s">
        <v>1481</v>
      </c>
      <c r="D265" s="45" t="s">
        <v>1698</v>
      </c>
      <c r="E265" s="45" t="s">
        <v>1483</v>
      </c>
      <c r="F265" s="45">
        <v>1</v>
      </c>
      <c r="G265" s="46">
        <f>1</f>
        <v>1</v>
      </c>
      <c r="H265" s="47">
        <f t="shared" si="26"/>
        <v>1</v>
      </c>
      <c r="I265" s="48"/>
      <c r="J265" s="49">
        <f t="shared" si="27"/>
        <v>0</v>
      </c>
      <c r="K265" s="49">
        <f t="shared" si="24"/>
        <v>1</v>
      </c>
      <c r="L265" s="50"/>
    </row>
    <row r="266" spans="1:12" x14ac:dyDescent="0.3">
      <c r="A266" s="45"/>
      <c r="B266" s="45"/>
      <c r="C266" s="45" t="s">
        <v>1491</v>
      </c>
      <c r="D266" s="45" t="s">
        <v>1700</v>
      </c>
      <c r="E266" s="45" t="s">
        <v>1494</v>
      </c>
      <c r="F266" s="45">
        <v>1</v>
      </c>
      <c r="G266" s="46">
        <f>1</f>
        <v>1</v>
      </c>
      <c r="H266" s="47">
        <f t="shared" si="26"/>
        <v>1</v>
      </c>
      <c r="I266" s="48"/>
      <c r="J266" s="49">
        <f t="shared" si="27"/>
        <v>0</v>
      </c>
      <c r="K266" s="49">
        <f t="shared" si="24"/>
        <v>1</v>
      </c>
      <c r="L266" s="50"/>
    </row>
    <row r="267" spans="1:12" x14ac:dyDescent="0.3">
      <c r="A267" s="45"/>
      <c r="B267" s="45"/>
      <c r="C267" s="45" t="s">
        <v>1495</v>
      </c>
      <c r="D267" s="45" t="s">
        <v>1496</v>
      </c>
      <c r="E267" s="45" t="s">
        <v>1494</v>
      </c>
      <c r="F267" s="45"/>
      <c r="G267" s="46"/>
      <c r="H267" s="47">
        <f t="shared" si="26"/>
        <v>0</v>
      </c>
      <c r="I267" s="48"/>
      <c r="J267" s="49">
        <f t="shared" si="27"/>
        <v>0</v>
      </c>
      <c r="K267" s="49">
        <f t="shared" si="24"/>
        <v>0</v>
      </c>
      <c r="L267" s="50"/>
    </row>
    <row r="268" spans="1:12" x14ac:dyDescent="0.3">
      <c r="A268" s="45"/>
      <c r="B268" s="45"/>
      <c r="C268" s="45" t="s">
        <v>1499</v>
      </c>
      <c r="D268" s="45" t="s">
        <v>1500</v>
      </c>
      <c r="E268" s="45" t="s">
        <v>1494</v>
      </c>
      <c r="F268" s="45"/>
      <c r="G268" s="46"/>
      <c r="H268" s="47">
        <f t="shared" si="26"/>
        <v>0</v>
      </c>
      <c r="I268" s="48"/>
      <c r="J268" s="49">
        <f t="shared" si="27"/>
        <v>0</v>
      </c>
      <c r="K268" s="49">
        <f t="shared" si="24"/>
        <v>0</v>
      </c>
      <c r="L268" s="50"/>
    </row>
    <row r="269" spans="1:12" x14ac:dyDescent="0.3">
      <c r="A269" s="45"/>
      <c r="B269" s="45"/>
      <c r="C269" s="45" t="s">
        <v>1499</v>
      </c>
      <c r="D269" s="45" t="s">
        <v>1501</v>
      </c>
      <c r="E269" s="45" t="s">
        <v>1494</v>
      </c>
      <c r="F269" s="45">
        <v>1</v>
      </c>
      <c r="G269" s="46">
        <f>1</f>
        <v>1</v>
      </c>
      <c r="H269" s="47">
        <f t="shared" si="26"/>
        <v>1</v>
      </c>
      <c r="I269" s="48"/>
      <c r="J269" s="49">
        <f t="shared" si="27"/>
        <v>0</v>
      </c>
      <c r="K269" s="49">
        <f t="shared" si="24"/>
        <v>1</v>
      </c>
      <c r="L269" s="50"/>
    </row>
    <row r="270" spans="1:12" x14ac:dyDescent="0.3">
      <c r="A270" s="45"/>
      <c r="B270" s="45"/>
      <c r="C270" s="45" t="s">
        <v>1668</v>
      </c>
      <c r="D270" s="45" t="s">
        <v>1503</v>
      </c>
      <c r="E270" s="57" t="s">
        <v>1494</v>
      </c>
      <c r="F270" s="57"/>
      <c r="G270" s="58"/>
      <c r="H270" s="47">
        <f t="shared" si="26"/>
        <v>0</v>
      </c>
      <c r="I270" s="48"/>
      <c r="J270" s="49">
        <f t="shared" si="27"/>
        <v>0</v>
      </c>
      <c r="K270" s="49">
        <f t="shared" si="24"/>
        <v>0</v>
      </c>
      <c r="L270" s="59"/>
    </row>
    <row r="271" spans="1:12" x14ac:dyDescent="0.3">
      <c r="A271" s="45"/>
      <c r="B271" s="45"/>
      <c r="C271" s="45" t="s">
        <v>1705</v>
      </c>
      <c r="D271" s="45" t="s">
        <v>1503</v>
      </c>
      <c r="E271" s="57" t="s">
        <v>1494</v>
      </c>
      <c r="F271" s="57"/>
      <c r="G271" s="58"/>
      <c r="H271" s="47">
        <f t="shared" si="26"/>
        <v>0</v>
      </c>
      <c r="I271" s="48"/>
      <c r="J271" s="49">
        <f t="shared" si="27"/>
        <v>0</v>
      </c>
      <c r="K271" s="49">
        <f t="shared" si="24"/>
        <v>0</v>
      </c>
      <c r="L271" s="59"/>
    </row>
    <row r="272" spans="1:12" x14ac:dyDescent="0.3">
      <c r="A272" s="45"/>
      <c r="B272" s="45"/>
      <c r="C272" s="45" t="s">
        <v>1502</v>
      </c>
      <c r="D272" s="45" t="s">
        <v>1506</v>
      </c>
      <c r="E272" s="57" t="s">
        <v>1494</v>
      </c>
      <c r="F272" s="57"/>
      <c r="G272" s="58"/>
      <c r="H272" s="47">
        <f t="shared" si="26"/>
        <v>0</v>
      </c>
      <c r="I272" s="48"/>
      <c r="J272" s="49">
        <f t="shared" si="27"/>
        <v>0</v>
      </c>
      <c r="K272" s="49">
        <f t="shared" si="24"/>
        <v>0</v>
      </c>
      <c r="L272" s="59"/>
    </row>
    <row r="273" spans="1:12" x14ac:dyDescent="0.3">
      <c r="A273" s="45"/>
      <c r="B273" s="45"/>
      <c r="C273" s="45" t="s">
        <v>1705</v>
      </c>
      <c r="D273" s="45" t="s">
        <v>1506</v>
      </c>
      <c r="E273" s="57" t="s">
        <v>1605</v>
      </c>
      <c r="F273" s="57" t="s">
        <v>1621</v>
      </c>
      <c r="G273" s="58">
        <f>1</f>
        <v>1</v>
      </c>
      <c r="H273" s="47">
        <f t="shared" si="26"/>
        <v>1</v>
      </c>
      <c r="I273" s="48"/>
      <c r="J273" s="49">
        <f t="shared" si="27"/>
        <v>0</v>
      </c>
      <c r="K273" s="49">
        <f t="shared" si="24"/>
        <v>1</v>
      </c>
      <c r="L273" s="59"/>
    </row>
    <row r="274" spans="1:12" x14ac:dyDescent="0.3">
      <c r="A274" s="45"/>
      <c r="B274" s="45"/>
      <c r="C274" s="45" t="s">
        <v>1707</v>
      </c>
      <c r="D274" s="45" t="s">
        <v>1508</v>
      </c>
      <c r="E274" s="57" t="s">
        <v>1494</v>
      </c>
      <c r="F274" s="57"/>
      <c r="G274" s="58"/>
      <c r="H274" s="47">
        <f t="shared" si="26"/>
        <v>0</v>
      </c>
      <c r="I274" s="60"/>
      <c r="J274" s="49">
        <f t="shared" si="27"/>
        <v>0</v>
      </c>
      <c r="K274" s="49">
        <f t="shared" si="24"/>
        <v>0</v>
      </c>
      <c r="L274" s="59"/>
    </row>
    <row r="275" spans="1:12" x14ac:dyDescent="0.3">
      <c r="A275" s="45"/>
      <c r="B275" s="45"/>
      <c r="C275" s="45" t="s">
        <v>1507</v>
      </c>
      <c r="D275" s="45" t="s">
        <v>1622</v>
      </c>
      <c r="E275" s="57" t="s">
        <v>1605</v>
      </c>
      <c r="F275" s="57"/>
      <c r="G275" s="58"/>
      <c r="H275" s="47">
        <f t="shared" si="26"/>
        <v>0</v>
      </c>
      <c r="I275" s="60"/>
      <c r="J275" s="49">
        <f t="shared" si="27"/>
        <v>0</v>
      </c>
      <c r="K275" s="49">
        <f t="shared" si="24"/>
        <v>0</v>
      </c>
      <c r="L275" s="59"/>
    </row>
    <row r="276" spans="1:12" x14ac:dyDescent="0.3">
      <c r="A276" s="45"/>
      <c r="B276" s="45"/>
      <c r="C276" s="45" t="s">
        <v>1707</v>
      </c>
      <c r="D276" s="45" t="s">
        <v>1709</v>
      </c>
      <c r="E276" s="57" t="s">
        <v>1494</v>
      </c>
      <c r="F276" s="57">
        <v>1</v>
      </c>
      <c r="G276" s="58">
        <f>1</f>
        <v>1</v>
      </c>
      <c r="H276" s="47">
        <f t="shared" si="26"/>
        <v>1</v>
      </c>
      <c r="I276" s="60"/>
      <c r="J276" s="49">
        <f t="shared" si="27"/>
        <v>0</v>
      </c>
      <c r="K276" s="49">
        <f t="shared" si="24"/>
        <v>1</v>
      </c>
      <c r="L276" s="59"/>
    </row>
    <row r="277" spans="1:12" x14ac:dyDescent="0.3">
      <c r="A277" s="45"/>
      <c r="B277" s="45"/>
      <c r="C277" s="45" t="s">
        <v>1507</v>
      </c>
      <c r="D277" s="45" t="s">
        <v>1623</v>
      </c>
      <c r="E277" s="57" t="s">
        <v>1494</v>
      </c>
      <c r="F277" s="57"/>
      <c r="G277" s="58"/>
      <c r="H277" s="47">
        <f t="shared" si="26"/>
        <v>0</v>
      </c>
      <c r="I277" s="60"/>
      <c r="J277" s="49">
        <f t="shared" si="27"/>
        <v>0</v>
      </c>
      <c r="K277" s="49">
        <f t="shared" si="24"/>
        <v>0</v>
      </c>
      <c r="L277" s="59"/>
    </row>
    <row r="278" spans="1:12" x14ac:dyDescent="0.3">
      <c r="A278" s="45"/>
      <c r="B278" s="45"/>
      <c r="C278" s="45" t="s">
        <v>1711</v>
      </c>
      <c r="D278" s="45" t="s">
        <v>1515</v>
      </c>
      <c r="E278" s="61" t="s">
        <v>1605</v>
      </c>
      <c r="F278" s="61" t="s">
        <v>1624</v>
      </c>
      <c r="G278" s="58">
        <f>1</f>
        <v>1</v>
      </c>
      <c r="H278" s="47">
        <f t="shared" si="26"/>
        <v>1</v>
      </c>
      <c r="I278" s="62"/>
      <c r="J278" s="49">
        <f t="shared" si="27"/>
        <v>0</v>
      </c>
      <c r="K278" s="49">
        <f t="shared" si="24"/>
        <v>1</v>
      </c>
      <c r="L278" s="60"/>
    </row>
    <row r="279" spans="1:12" x14ac:dyDescent="0.3">
      <c r="A279" s="45"/>
      <c r="B279" s="45"/>
      <c r="C279" s="45" t="s">
        <v>1713</v>
      </c>
      <c r="D279" s="45" t="s">
        <v>1515</v>
      </c>
      <c r="E279" s="61" t="s">
        <v>1494</v>
      </c>
      <c r="F279" s="61"/>
      <c r="G279" s="58"/>
      <c r="H279" s="47">
        <f t="shared" si="26"/>
        <v>0</v>
      </c>
      <c r="I279" s="62"/>
      <c r="J279" s="49">
        <f t="shared" si="27"/>
        <v>0</v>
      </c>
      <c r="K279" s="49">
        <f t="shared" si="24"/>
        <v>0</v>
      </c>
      <c r="L279" s="60"/>
    </row>
    <row r="280" spans="1:12" x14ac:dyDescent="0.3">
      <c r="A280" s="45"/>
      <c r="B280" s="45"/>
      <c r="C280" s="45" t="s">
        <v>1519</v>
      </c>
      <c r="D280" s="45" t="s">
        <v>1515</v>
      </c>
      <c r="E280" s="61" t="s">
        <v>1494</v>
      </c>
      <c r="F280" s="61"/>
      <c r="G280" s="58"/>
      <c r="H280" s="47">
        <f t="shared" si="26"/>
        <v>0</v>
      </c>
      <c r="I280" s="62"/>
      <c r="J280" s="49">
        <f t="shared" si="27"/>
        <v>0</v>
      </c>
      <c r="K280" s="49">
        <f t="shared" si="24"/>
        <v>0</v>
      </c>
      <c r="L280" s="60"/>
    </row>
    <row r="281" spans="1:12" x14ac:dyDescent="0.3">
      <c r="A281" s="45"/>
      <c r="B281" s="45"/>
      <c r="C281" s="45" t="s">
        <v>1672</v>
      </c>
      <c r="D281" s="45" t="s">
        <v>1679</v>
      </c>
      <c r="E281" s="61" t="s">
        <v>74</v>
      </c>
      <c r="F281" s="61"/>
      <c r="G281" s="58"/>
      <c r="H281" s="47">
        <f t="shared" si="26"/>
        <v>0</v>
      </c>
      <c r="I281" s="62">
        <v>0.1</v>
      </c>
      <c r="J281" s="49">
        <f t="shared" si="27"/>
        <v>0</v>
      </c>
      <c r="K281" s="49">
        <f t="shared" si="24"/>
        <v>0</v>
      </c>
      <c r="L281" s="60"/>
    </row>
    <row r="282" spans="1:12" x14ac:dyDescent="0.3">
      <c r="A282" s="45"/>
      <c r="B282" s="45"/>
      <c r="C282" s="45" t="s">
        <v>1672</v>
      </c>
      <c r="D282" s="45" t="s">
        <v>315</v>
      </c>
      <c r="E282" s="57" t="s">
        <v>74</v>
      </c>
      <c r="F282" s="57"/>
      <c r="G282" s="58"/>
      <c r="H282" s="47">
        <f t="shared" si="26"/>
        <v>0</v>
      </c>
      <c r="I282" s="62">
        <v>0.1</v>
      </c>
      <c r="J282" s="49">
        <f t="shared" si="27"/>
        <v>0</v>
      </c>
      <c r="K282" s="49">
        <f t="shared" si="24"/>
        <v>0</v>
      </c>
      <c r="L282" s="59"/>
    </row>
    <row r="283" spans="1:12" x14ac:dyDescent="0.3">
      <c r="A283" s="45"/>
      <c r="B283" s="45"/>
      <c r="C283" s="45" t="s">
        <v>1521</v>
      </c>
      <c r="D283" s="45" t="s">
        <v>265</v>
      </c>
      <c r="E283" s="57" t="s">
        <v>74</v>
      </c>
      <c r="F283" s="57"/>
      <c r="G283" s="58"/>
      <c r="H283" s="47">
        <f t="shared" si="26"/>
        <v>0</v>
      </c>
      <c r="I283" s="62">
        <v>0.1</v>
      </c>
      <c r="J283" s="49">
        <f t="shared" si="27"/>
        <v>0</v>
      </c>
      <c r="K283" s="49">
        <f t="shared" si="24"/>
        <v>0</v>
      </c>
      <c r="L283" s="59"/>
    </row>
    <row r="284" spans="1:12" x14ac:dyDescent="0.3">
      <c r="A284" s="45"/>
      <c r="B284" s="45"/>
      <c r="C284" s="45" t="s">
        <v>1521</v>
      </c>
      <c r="D284" s="45" t="s">
        <v>273</v>
      </c>
      <c r="E284" s="57" t="s">
        <v>74</v>
      </c>
      <c r="F284" s="57" t="s">
        <v>1729</v>
      </c>
      <c r="G284" s="58">
        <f>2.35+1.6+0.15</f>
        <v>4.1000000000000005</v>
      </c>
      <c r="H284" s="47">
        <f t="shared" si="26"/>
        <v>4.1000000000000005</v>
      </c>
      <c r="I284" s="62">
        <v>0.1</v>
      </c>
      <c r="J284" s="49">
        <f t="shared" si="27"/>
        <v>0.4</v>
      </c>
      <c r="K284" s="49">
        <f t="shared" si="24"/>
        <v>5</v>
      </c>
      <c r="L284" s="59"/>
    </row>
    <row r="285" spans="1:12" x14ac:dyDescent="0.3">
      <c r="A285" s="45"/>
      <c r="B285" s="45"/>
      <c r="C285" s="45" t="s">
        <v>1730</v>
      </c>
      <c r="D285" s="45" t="s">
        <v>1626</v>
      </c>
      <c r="E285" s="57" t="s">
        <v>1605</v>
      </c>
      <c r="F285" s="63"/>
      <c r="G285" s="58"/>
      <c r="H285" s="47">
        <f t="shared" si="26"/>
        <v>0</v>
      </c>
      <c r="I285" s="60"/>
      <c r="J285" s="49">
        <f t="shared" si="27"/>
        <v>0</v>
      </c>
      <c r="K285" s="49">
        <f t="shared" si="24"/>
        <v>0</v>
      </c>
      <c r="L285" s="59"/>
    </row>
    <row r="286" spans="1:12" x14ac:dyDescent="0.3">
      <c r="A286" s="45"/>
      <c r="B286" s="45"/>
      <c r="C286" s="45" t="s">
        <v>1531</v>
      </c>
      <c r="D286" s="45" t="s">
        <v>1532</v>
      </c>
      <c r="E286" s="61" t="s">
        <v>1494</v>
      </c>
      <c r="F286" s="61"/>
      <c r="G286" s="58"/>
      <c r="H286" s="47">
        <f t="shared" si="26"/>
        <v>0</v>
      </c>
      <c r="I286" s="60"/>
      <c r="J286" s="49">
        <f t="shared" si="27"/>
        <v>0</v>
      </c>
      <c r="K286" s="49">
        <f t="shared" si="24"/>
        <v>0</v>
      </c>
      <c r="L286" s="60"/>
    </row>
    <row r="287" spans="1:12" x14ac:dyDescent="0.3">
      <c r="A287" s="45"/>
      <c r="B287" s="45"/>
      <c r="C287" s="45" t="s">
        <v>1730</v>
      </c>
      <c r="D287" s="45" t="s">
        <v>1627</v>
      </c>
      <c r="E287" s="61" t="s">
        <v>1494</v>
      </c>
      <c r="F287" s="61"/>
      <c r="G287" s="58"/>
      <c r="H287" s="47">
        <f t="shared" si="26"/>
        <v>0</v>
      </c>
      <c r="I287" s="60"/>
      <c r="J287" s="49">
        <f t="shared" si="27"/>
        <v>0</v>
      </c>
      <c r="K287" s="49">
        <f t="shared" si="24"/>
        <v>0</v>
      </c>
      <c r="L287" s="60"/>
    </row>
    <row r="288" spans="1:12" x14ac:dyDescent="0.3">
      <c r="A288" s="45"/>
      <c r="B288" s="45"/>
      <c r="C288" s="45" t="s">
        <v>1531</v>
      </c>
      <c r="D288" s="45" t="s">
        <v>1628</v>
      </c>
      <c r="E288" s="61" t="s">
        <v>1494</v>
      </c>
      <c r="F288" s="61"/>
      <c r="G288" s="58"/>
      <c r="H288" s="47">
        <f t="shared" si="26"/>
        <v>0</v>
      </c>
      <c r="I288" s="60"/>
      <c r="J288" s="49">
        <f t="shared" si="27"/>
        <v>0</v>
      </c>
      <c r="K288" s="49">
        <f t="shared" si="24"/>
        <v>0</v>
      </c>
      <c r="L288" s="60"/>
    </row>
    <row r="289" spans="1:12" x14ac:dyDescent="0.3">
      <c r="A289" s="45"/>
      <c r="B289" s="45"/>
      <c r="C289" s="45" t="s">
        <v>1531</v>
      </c>
      <c r="D289" s="45" t="s">
        <v>1535</v>
      </c>
      <c r="E289" s="61" t="s">
        <v>1494</v>
      </c>
      <c r="F289" s="61"/>
      <c r="G289" s="58"/>
      <c r="H289" s="47">
        <f t="shared" si="26"/>
        <v>0</v>
      </c>
      <c r="I289" s="60"/>
      <c r="J289" s="49">
        <f>ROUND((H289*I289),1)</f>
        <v>0</v>
      </c>
      <c r="K289" s="49">
        <f t="shared" si="24"/>
        <v>0</v>
      </c>
      <c r="L289" s="60"/>
    </row>
    <row r="290" spans="1:12" x14ac:dyDescent="0.3">
      <c r="A290" s="45"/>
      <c r="B290" s="45"/>
      <c r="C290" s="45" t="s">
        <v>1531</v>
      </c>
      <c r="D290" s="45" t="s">
        <v>1731</v>
      </c>
      <c r="E290" s="61" t="s">
        <v>1605</v>
      </c>
      <c r="F290" s="61"/>
      <c r="G290" s="58"/>
      <c r="H290" s="47">
        <f t="shared" si="26"/>
        <v>0</v>
      </c>
      <c r="I290" s="60"/>
      <c r="J290" s="49">
        <f t="shared" ref="J290:J324" si="28">ROUND((H290*I290),1)</f>
        <v>0</v>
      </c>
      <c r="K290" s="49">
        <f t="shared" si="24"/>
        <v>0</v>
      </c>
      <c r="L290" s="60"/>
    </row>
    <row r="291" spans="1:12" x14ac:dyDescent="0.3">
      <c r="A291" s="45"/>
      <c r="B291" s="45"/>
      <c r="C291" s="45" t="s">
        <v>1538</v>
      </c>
      <c r="D291" s="45" t="s">
        <v>1631</v>
      </c>
      <c r="E291" s="61" t="s">
        <v>1605</v>
      </c>
      <c r="F291" s="61"/>
      <c r="G291" s="58"/>
      <c r="H291" s="47">
        <f t="shared" si="26"/>
        <v>0</v>
      </c>
      <c r="I291" s="60"/>
      <c r="J291" s="49">
        <f t="shared" si="28"/>
        <v>0</v>
      </c>
      <c r="K291" s="49">
        <f t="shared" si="24"/>
        <v>0</v>
      </c>
      <c r="L291" s="60"/>
    </row>
    <row r="292" spans="1:12" x14ac:dyDescent="0.3">
      <c r="A292" s="45"/>
      <c r="B292" s="45"/>
      <c r="C292" s="45" t="s">
        <v>1674</v>
      </c>
      <c r="D292" s="45" t="s">
        <v>1541</v>
      </c>
      <c r="E292" s="61" t="s">
        <v>1494</v>
      </c>
      <c r="F292" s="61"/>
      <c r="G292" s="58"/>
      <c r="H292" s="47">
        <f t="shared" si="26"/>
        <v>0</v>
      </c>
      <c r="I292" s="60"/>
      <c r="J292" s="49">
        <f t="shared" si="28"/>
        <v>0</v>
      </c>
      <c r="K292" s="49">
        <f t="shared" si="24"/>
        <v>0</v>
      </c>
      <c r="L292" s="60"/>
    </row>
    <row r="293" spans="1:12" x14ac:dyDescent="0.3">
      <c r="A293" s="45"/>
      <c r="B293" s="45"/>
      <c r="C293" s="45" t="s">
        <v>1538</v>
      </c>
      <c r="D293" s="45" t="s">
        <v>1543</v>
      </c>
      <c r="E293" s="61" t="s">
        <v>1494</v>
      </c>
      <c r="F293" s="61"/>
      <c r="G293" s="58"/>
      <c r="H293" s="47">
        <f t="shared" si="26"/>
        <v>0</v>
      </c>
      <c r="I293" s="60"/>
      <c r="J293" s="49">
        <f t="shared" si="28"/>
        <v>0</v>
      </c>
      <c r="K293" s="49">
        <f t="shared" si="24"/>
        <v>0</v>
      </c>
      <c r="L293" s="60"/>
    </row>
    <row r="294" spans="1:12" x14ac:dyDescent="0.3">
      <c r="A294" s="45"/>
      <c r="B294" s="45"/>
      <c r="C294" s="45" t="s">
        <v>1549</v>
      </c>
      <c r="D294" s="45" t="s">
        <v>1632</v>
      </c>
      <c r="E294" s="61" t="s">
        <v>1494</v>
      </c>
      <c r="F294" s="61"/>
      <c r="G294" s="58"/>
      <c r="H294" s="47">
        <f t="shared" si="26"/>
        <v>0</v>
      </c>
      <c r="I294" s="60"/>
      <c r="J294" s="49">
        <f t="shared" si="28"/>
        <v>0</v>
      </c>
      <c r="K294" s="49">
        <f t="shared" si="24"/>
        <v>0</v>
      </c>
      <c r="L294" s="60"/>
    </row>
    <row r="295" spans="1:12" x14ac:dyDescent="0.3">
      <c r="A295" s="45"/>
      <c r="B295" s="45"/>
      <c r="C295" s="45" t="s">
        <v>1549</v>
      </c>
      <c r="D295" s="45" t="s">
        <v>1633</v>
      </c>
      <c r="E295" s="61" t="s">
        <v>1494</v>
      </c>
      <c r="F295" s="61" t="s">
        <v>1504</v>
      </c>
      <c r="G295" s="58">
        <f>1+1</f>
        <v>2</v>
      </c>
      <c r="H295" s="47">
        <f t="shared" si="26"/>
        <v>2</v>
      </c>
      <c r="I295" s="60"/>
      <c r="J295" s="49">
        <f t="shared" si="28"/>
        <v>0</v>
      </c>
      <c r="K295" s="49">
        <f t="shared" si="24"/>
        <v>2</v>
      </c>
      <c r="L295" s="60"/>
    </row>
    <row r="296" spans="1:12" x14ac:dyDescent="0.3">
      <c r="A296" s="45"/>
      <c r="B296" s="45"/>
      <c r="C296" s="45" t="s">
        <v>1549</v>
      </c>
      <c r="D296" s="45" t="s">
        <v>1634</v>
      </c>
      <c r="E296" s="61" t="s">
        <v>1605</v>
      </c>
      <c r="F296" s="61"/>
      <c r="G296" s="58"/>
      <c r="H296" s="47">
        <f t="shared" si="26"/>
        <v>0</v>
      </c>
      <c r="I296" s="60"/>
      <c r="J296" s="49">
        <f t="shared" si="28"/>
        <v>0</v>
      </c>
      <c r="K296" s="49">
        <f t="shared" ref="K296:K362" si="29">ROUNDUP((H296+J296),0)</f>
        <v>0</v>
      </c>
      <c r="L296" s="60"/>
    </row>
    <row r="297" spans="1:12" x14ac:dyDescent="0.3">
      <c r="A297" s="45"/>
      <c r="B297" s="45"/>
      <c r="C297" s="45" t="s">
        <v>1549</v>
      </c>
      <c r="D297" s="45" t="s">
        <v>1732</v>
      </c>
      <c r="E297" s="61" t="s">
        <v>1494</v>
      </c>
      <c r="F297" s="61"/>
      <c r="G297" s="58"/>
      <c r="H297" s="47">
        <f t="shared" si="26"/>
        <v>0</v>
      </c>
      <c r="I297" s="60"/>
      <c r="J297" s="49">
        <f t="shared" si="28"/>
        <v>0</v>
      </c>
      <c r="K297" s="49">
        <f t="shared" si="29"/>
        <v>0</v>
      </c>
      <c r="L297" s="60"/>
    </row>
    <row r="298" spans="1:12" x14ac:dyDescent="0.3">
      <c r="A298" s="45"/>
      <c r="B298" s="45"/>
      <c r="C298" s="45" t="s">
        <v>1636</v>
      </c>
      <c r="D298" s="45" t="s">
        <v>1522</v>
      </c>
      <c r="E298" s="61" t="s">
        <v>1605</v>
      </c>
      <c r="F298" s="61"/>
      <c r="G298" s="58"/>
      <c r="H298" s="47">
        <f t="shared" si="26"/>
        <v>0</v>
      </c>
      <c r="I298" s="60"/>
      <c r="J298" s="49">
        <f t="shared" si="28"/>
        <v>0</v>
      </c>
      <c r="K298" s="49">
        <f t="shared" si="29"/>
        <v>0</v>
      </c>
      <c r="L298" s="60"/>
    </row>
    <row r="299" spans="1:12" x14ac:dyDescent="0.3">
      <c r="A299" s="45"/>
      <c r="B299" s="45"/>
      <c r="C299" s="45" t="s">
        <v>1558</v>
      </c>
      <c r="D299" s="45" t="s">
        <v>1733</v>
      </c>
      <c r="E299" s="61" t="s">
        <v>1605</v>
      </c>
      <c r="F299" s="61"/>
      <c r="G299" s="58"/>
      <c r="H299" s="47">
        <f t="shared" si="26"/>
        <v>0</v>
      </c>
      <c r="I299" s="60"/>
      <c r="J299" s="49">
        <f t="shared" si="28"/>
        <v>0</v>
      </c>
      <c r="K299" s="49">
        <f t="shared" si="29"/>
        <v>0</v>
      </c>
      <c r="L299" s="60"/>
    </row>
    <row r="300" spans="1:12" x14ac:dyDescent="0.3">
      <c r="A300" s="45"/>
      <c r="B300" s="45"/>
      <c r="C300" s="45" t="s">
        <v>1558</v>
      </c>
      <c r="D300" s="45" t="s">
        <v>1503</v>
      </c>
      <c r="E300" s="57" t="s">
        <v>1494</v>
      </c>
      <c r="F300" s="57"/>
      <c r="G300" s="58"/>
      <c r="H300" s="47">
        <f t="shared" si="26"/>
        <v>0</v>
      </c>
      <c r="I300" s="60"/>
      <c r="J300" s="49">
        <f t="shared" si="28"/>
        <v>0</v>
      </c>
      <c r="K300" s="49">
        <f t="shared" si="29"/>
        <v>0</v>
      </c>
      <c r="L300" s="59"/>
    </row>
    <row r="301" spans="1:12" x14ac:dyDescent="0.3">
      <c r="A301" s="45"/>
      <c r="B301" s="45"/>
      <c r="C301" s="45" t="s">
        <v>1558</v>
      </c>
      <c r="D301" s="45" t="s">
        <v>1506</v>
      </c>
      <c r="E301" s="57" t="s">
        <v>1605</v>
      </c>
      <c r="F301" s="57" t="s">
        <v>1621</v>
      </c>
      <c r="G301" s="58">
        <f>1</f>
        <v>1</v>
      </c>
      <c r="H301" s="47">
        <f t="shared" si="26"/>
        <v>1</v>
      </c>
      <c r="I301" s="60"/>
      <c r="J301" s="49">
        <f t="shared" si="28"/>
        <v>0</v>
      </c>
      <c r="K301" s="49">
        <f t="shared" si="29"/>
        <v>1</v>
      </c>
      <c r="L301" s="59"/>
    </row>
    <row r="302" spans="1:12" x14ac:dyDescent="0.3">
      <c r="A302" s="45"/>
      <c r="B302" s="45"/>
      <c r="C302" s="45" t="s">
        <v>1734</v>
      </c>
      <c r="D302" s="45" t="s">
        <v>1560</v>
      </c>
      <c r="E302" s="57" t="s">
        <v>1561</v>
      </c>
      <c r="F302" s="57" t="s">
        <v>1735</v>
      </c>
      <c r="G302" s="58">
        <f>(1)*2</f>
        <v>2</v>
      </c>
      <c r="H302" s="47">
        <f t="shared" si="26"/>
        <v>2</v>
      </c>
      <c r="I302" s="64"/>
      <c r="J302" s="49">
        <f t="shared" si="28"/>
        <v>0</v>
      </c>
      <c r="K302" s="49">
        <f t="shared" si="29"/>
        <v>2</v>
      </c>
      <c r="L302" s="59"/>
    </row>
    <row r="303" spans="1:12" ht="17.45" customHeight="1" x14ac:dyDescent="0.3">
      <c r="A303" s="45"/>
      <c r="B303" s="45"/>
      <c r="C303" s="45" t="s">
        <v>1736</v>
      </c>
      <c r="D303" s="45" t="s">
        <v>1737</v>
      </c>
      <c r="E303" s="57" t="s">
        <v>1494</v>
      </c>
      <c r="F303" s="57" t="s">
        <v>1738</v>
      </c>
      <c r="G303" s="58">
        <f>(0.153*4.1)</f>
        <v>0.62729999999999997</v>
      </c>
      <c r="H303" s="47">
        <f t="shared" si="26"/>
        <v>0.62729999999999997</v>
      </c>
      <c r="I303" s="48">
        <v>0.1</v>
      </c>
      <c r="J303" s="49">
        <f t="shared" si="28"/>
        <v>0.1</v>
      </c>
      <c r="K303" s="49">
        <f t="shared" si="29"/>
        <v>1</v>
      </c>
      <c r="L303" s="59"/>
    </row>
    <row r="304" spans="1:12" x14ac:dyDescent="0.3">
      <c r="A304" s="45"/>
      <c r="B304" s="45"/>
      <c r="C304" s="45" t="s">
        <v>1739</v>
      </c>
      <c r="D304" s="45" t="s">
        <v>1740</v>
      </c>
      <c r="E304" s="61" t="s">
        <v>1660</v>
      </c>
      <c r="F304" s="61" t="s">
        <v>1741</v>
      </c>
      <c r="G304" s="58">
        <f>(0.3+0.3+0.3)*3</f>
        <v>2.6999999999999997</v>
      </c>
      <c r="H304" s="47">
        <f t="shared" si="26"/>
        <v>2.6999999999999997</v>
      </c>
      <c r="I304" s="48">
        <v>0.1</v>
      </c>
      <c r="J304" s="49">
        <f t="shared" si="28"/>
        <v>0.3</v>
      </c>
      <c r="K304" s="49">
        <f t="shared" si="29"/>
        <v>3</v>
      </c>
      <c r="L304" s="60"/>
    </row>
    <row r="305" spans="1:12" x14ac:dyDescent="0.3">
      <c r="A305" s="45"/>
      <c r="B305" s="45"/>
      <c r="C305" s="45" t="s">
        <v>1686</v>
      </c>
      <c r="D305" s="45" t="s">
        <v>1687</v>
      </c>
      <c r="E305" s="61" t="s">
        <v>1688</v>
      </c>
      <c r="F305" s="61" t="s">
        <v>1720</v>
      </c>
      <c r="G305" s="75">
        <f>2.7/1000</f>
        <v>2.7000000000000001E-3</v>
      </c>
      <c r="H305" s="76">
        <f t="shared" si="26"/>
        <v>2.7000000000000001E-3</v>
      </c>
      <c r="I305" s="60"/>
      <c r="J305" s="49">
        <f t="shared" si="28"/>
        <v>0</v>
      </c>
      <c r="K305" s="77">
        <f t="shared" ref="K305" si="30">H305+J305</f>
        <v>2.7000000000000001E-3</v>
      </c>
      <c r="L305" s="60"/>
    </row>
    <row r="306" spans="1:12" x14ac:dyDescent="0.3">
      <c r="A306" s="45"/>
      <c r="B306" s="45"/>
      <c r="C306" s="45" t="s">
        <v>1742</v>
      </c>
      <c r="D306" s="45" t="s">
        <v>1743</v>
      </c>
      <c r="E306" s="61" t="s">
        <v>1605</v>
      </c>
      <c r="F306" s="61" t="s">
        <v>1744</v>
      </c>
      <c r="G306" s="58">
        <f>4</f>
        <v>4</v>
      </c>
      <c r="H306" s="47">
        <f t="shared" si="26"/>
        <v>4</v>
      </c>
      <c r="I306" s="62"/>
      <c r="J306" s="49">
        <f t="shared" si="28"/>
        <v>0</v>
      </c>
      <c r="K306" s="49">
        <f t="shared" si="29"/>
        <v>4</v>
      </c>
      <c r="L306" s="60"/>
    </row>
    <row r="307" spans="1:12" x14ac:dyDescent="0.3">
      <c r="A307" s="45"/>
      <c r="B307" s="45"/>
      <c r="C307" s="45" t="s">
        <v>1578</v>
      </c>
      <c r="D307" s="45" t="s">
        <v>1745</v>
      </c>
      <c r="E307" s="57" t="s">
        <v>1605</v>
      </c>
      <c r="F307" s="57" t="s">
        <v>1746</v>
      </c>
      <c r="G307" s="70">
        <f>2*4</f>
        <v>8</v>
      </c>
      <c r="H307" s="47">
        <f t="shared" si="26"/>
        <v>8</v>
      </c>
      <c r="I307" s="48">
        <v>0.1</v>
      </c>
      <c r="J307" s="49">
        <f t="shared" si="28"/>
        <v>0.8</v>
      </c>
      <c r="K307" s="49">
        <f t="shared" si="29"/>
        <v>9</v>
      </c>
      <c r="L307" s="59"/>
    </row>
    <row r="308" spans="1:12" x14ac:dyDescent="0.3">
      <c r="A308" s="45"/>
      <c r="B308" s="45"/>
      <c r="C308" s="51" t="s">
        <v>1747</v>
      </c>
      <c r="D308" s="51" t="s">
        <v>1582</v>
      </c>
      <c r="E308" s="71" t="s">
        <v>1561</v>
      </c>
      <c r="F308" s="71"/>
      <c r="G308" s="72"/>
      <c r="H308" s="53">
        <f t="shared" si="26"/>
        <v>0</v>
      </c>
      <c r="I308" s="54"/>
      <c r="J308" s="55">
        <f t="shared" si="28"/>
        <v>0</v>
      </c>
      <c r="K308" s="55">
        <f t="shared" si="29"/>
        <v>0</v>
      </c>
      <c r="L308" s="73"/>
    </row>
    <row r="309" spans="1:12" x14ac:dyDescent="0.3">
      <c r="A309" s="45"/>
      <c r="B309" s="45"/>
      <c r="C309" s="51" t="s">
        <v>1581</v>
      </c>
      <c r="D309" s="51" t="s">
        <v>1748</v>
      </c>
      <c r="E309" s="71" t="s">
        <v>1749</v>
      </c>
      <c r="F309" s="71"/>
      <c r="G309" s="72"/>
      <c r="H309" s="53">
        <f t="shared" si="26"/>
        <v>0</v>
      </c>
      <c r="I309" s="54"/>
      <c r="J309" s="55">
        <f t="shared" si="28"/>
        <v>0</v>
      </c>
      <c r="K309" s="55">
        <f t="shared" si="29"/>
        <v>0</v>
      </c>
      <c r="L309" s="73"/>
    </row>
    <row r="310" spans="1:12" x14ac:dyDescent="0.3">
      <c r="A310" s="45"/>
      <c r="B310" s="45"/>
      <c r="C310" s="51" t="s">
        <v>1581</v>
      </c>
      <c r="D310" s="51" t="s">
        <v>1750</v>
      </c>
      <c r="E310" s="71" t="s">
        <v>1749</v>
      </c>
      <c r="F310" s="71">
        <v>1</v>
      </c>
      <c r="G310" s="72">
        <f>1</f>
        <v>1</v>
      </c>
      <c r="H310" s="53">
        <f t="shared" si="26"/>
        <v>1</v>
      </c>
      <c r="I310" s="54"/>
      <c r="J310" s="55">
        <f t="shared" si="28"/>
        <v>0</v>
      </c>
      <c r="K310" s="55">
        <f t="shared" si="29"/>
        <v>1</v>
      </c>
      <c r="L310" s="73"/>
    </row>
    <row r="311" spans="1:12" x14ac:dyDescent="0.3">
      <c r="A311" s="45"/>
      <c r="B311" s="45"/>
      <c r="C311" s="51" t="s">
        <v>1581</v>
      </c>
      <c r="D311" s="51" t="s">
        <v>1646</v>
      </c>
      <c r="E311" s="71" t="s">
        <v>1749</v>
      </c>
      <c r="F311" s="71"/>
      <c r="G311" s="72"/>
      <c r="H311" s="53">
        <f t="shared" si="26"/>
        <v>0</v>
      </c>
      <c r="I311" s="54"/>
      <c r="J311" s="55">
        <f t="shared" si="28"/>
        <v>0</v>
      </c>
      <c r="K311" s="55">
        <f t="shared" si="29"/>
        <v>0</v>
      </c>
      <c r="L311" s="73"/>
    </row>
    <row r="312" spans="1:12" x14ac:dyDescent="0.3">
      <c r="A312" s="45"/>
      <c r="B312" s="45"/>
      <c r="C312" s="51" t="s">
        <v>1647</v>
      </c>
      <c r="D312" s="51" t="s">
        <v>1588</v>
      </c>
      <c r="E312" s="71" t="s">
        <v>1648</v>
      </c>
      <c r="F312" s="71" t="s">
        <v>1504</v>
      </c>
      <c r="G312" s="72">
        <f>1+1</f>
        <v>2</v>
      </c>
      <c r="H312" s="53">
        <f t="shared" si="26"/>
        <v>2</v>
      </c>
      <c r="I312" s="54"/>
      <c r="J312" s="55">
        <f t="shared" si="28"/>
        <v>0</v>
      </c>
      <c r="K312" s="55">
        <f t="shared" si="29"/>
        <v>2</v>
      </c>
      <c r="L312" s="73"/>
    </row>
    <row r="313" spans="1:12" x14ac:dyDescent="0.3">
      <c r="A313" s="45"/>
      <c r="B313" s="45"/>
      <c r="C313" s="45" t="s">
        <v>1751</v>
      </c>
      <c r="D313" s="45" t="s">
        <v>1752</v>
      </c>
      <c r="E313" s="45" t="s">
        <v>1649</v>
      </c>
      <c r="F313" s="45" t="s">
        <v>1753</v>
      </c>
      <c r="G313" s="46">
        <f>((30*20)*2)+((15*20)*2)</f>
        <v>1800</v>
      </c>
      <c r="H313" s="47">
        <f>G313</f>
        <v>1800</v>
      </c>
      <c r="I313" s="48">
        <v>0.1</v>
      </c>
      <c r="J313" s="49">
        <f t="shared" si="28"/>
        <v>180</v>
      </c>
      <c r="K313" s="49">
        <f t="shared" si="29"/>
        <v>1980</v>
      </c>
      <c r="L313" s="50"/>
    </row>
    <row r="314" spans="1:12" x14ac:dyDescent="0.3">
      <c r="A314" s="45"/>
      <c r="B314" s="45"/>
      <c r="C314" s="45" t="s">
        <v>1691</v>
      </c>
      <c r="D314" s="45" t="s">
        <v>1692</v>
      </c>
      <c r="E314" s="57" t="s">
        <v>1754</v>
      </c>
      <c r="F314" s="57">
        <v>1</v>
      </c>
      <c r="G314" s="58">
        <f>1</f>
        <v>1</v>
      </c>
      <c r="H314" s="47">
        <f t="shared" si="26"/>
        <v>1</v>
      </c>
      <c r="I314" s="48"/>
      <c r="J314" s="49">
        <f t="shared" si="28"/>
        <v>0</v>
      </c>
      <c r="K314" s="49">
        <f t="shared" si="29"/>
        <v>1</v>
      </c>
      <c r="L314" s="59"/>
    </row>
    <row r="315" spans="1:12" x14ac:dyDescent="0.3">
      <c r="A315" s="45"/>
      <c r="B315" s="45"/>
      <c r="C315" s="45" t="s">
        <v>1651</v>
      </c>
      <c r="D315" s="45" t="s">
        <v>1496</v>
      </c>
      <c r="E315" s="57" t="s">
        <v>1652</v>
      </c>
      <c r="F315" s="57" t="s">
        <v>1755</v>
      </c>
      <c r="G315" s="58">
        <f>1.1+1.6+1.8+3.5</f>
        <v>8</v>
      </c>
      <c r="H315" s="47">
        <f t="shared" si="26"/>
        <v>8</v>
      </c>
      <c r="I315" s="48">
        <v>0.1</v>
      </c>
      <c r="J315" s="49">
        <f t="shared" si="28"/>
        <v>0.8</v>
      </c>
      <c r="K315" s="49">
        <f t="shared" si="29"/>
        <v>9</v>
      </c>
      <c r="L315" s="59"/>
    </row>
    <row r="316" spans="1:12" x14ac:dyDescent="0.3">
      <c r="A316" s="45"/>
      <c r="B316" s="45"/>
      <c r="C316" s="45" t="s">
        <v>1601</v>
      </c>
      <c r="D316" s="45" t="s">
        <v>1602</v>
      </c>
      <c r="E316" s="57" t="s">
        <v>1605</v>
      </c>
      <c r="F316" s="57">
        <v>1</v>
      </c>
      <c r="G316" s="58">
        <f>1</f>
        <v>1</v>
      </c>
      <c r="H316" s="47">
        <f t="shared" si="26"/>
        <v>1</v>
      </c>
      <c r="I316" s="60"/>
      <c r="J316" s="49">
        <f>ROUND((H316*I316),1)</f>
        <v>0</v>
      </c>
      <c r="K316" s="49">
        <f t="shared" si="29"/>
        <v>1</v>
      </c>
      <c r="L316" s="59"/>
    </row>
    <row r="317" spans="1:12" x14ac:dyDescent="0.3">
      <c r="A317" s="45"/>
      <c r="B317" s="45"/>
      <c r="C317" s="45" t="s">
        <v>1655</v>
      </c>
      <c r="D317" s="45" t="s">
        <v>1602</v>
      </c>
      <c r="E317" s="61" t="s">
        <v>1605</v>
      </c>
      <c r="F317" s="61">
        <v>1</v>
      </c>
      <c r="G317" s="58">
        <f>1</f>
        <v>1</v>
      </c>
      <c r="H317" s="47">
        <f t="shared" si="26"/>
        <v>1</v>
      </c>
      <c r="I317" s="60"/>
      <c r="J317" s="49">
        <f t="shared" si="28"/>
        <v>0</v>
      </c>
      <c r="K317" s="49">
        <f t="shared" si="29"/>
        <v>1</v>
      </c>
      <c r="L317" s="60"/>
    </row>
    <row r="318" spans="1:12" x14ac:dyDescent="0.3">
      <c r="A318" s="45"/>
      <c r="B318" s="45"/>
      <c r="C318" s="45" t="s">
        <v>1656</v>
      </c>
      <c r="D318" s="45" t="s">
        <v>1602</v>
      </c>
      <c r="E318" s="61" t="s">
        <v>1494</v>
      </c>
      <c r="F318" s="61">
        <v>1</v>
      </c>
      <c r="G318" s="58">
        <f>1</f>
        <v>1</v>
      </c>
      <c r="H318" s="47">
        <f t="shared" si="26"/>
        <v>1</v>
      </c>
      <c r="I318" s="62"/>
      <c r="J318" s="49">
        <f t="shared" si="28"/>
        <v>0</v>
      </c>
      <c r="K318" s="49">
        <f t="shared" si="29"/>
        <v>1</v>
      </c>
      <c r="L318" s="60"/>
    </row>
    <row r="319" spans="1:12" x14ac:dyDescent="0.3">
      <c r="A319" s="45"/>
      <c r="B319" s="45"/>
      <c r="C319" s="45" t="s">
        <v>1607</v>
      </c>
      <c r="D319" s="45" t="s">
        <v>1658</v>
      </c>
      <c r="E319" s="57" t="s">
        <v>1605</v>
      </c>
      <c r="F319" s="57">
        <v>1</v>
      </c>
      <c r="G319" s="58">
        <f>1</f>
        <v>1</v>
      </c>
      <c r="H319" s="47">
        <f t="shared" si="26"/>
        <v>1</v>
      </c>
      <c r="I319" s="64"/>
      <c r="J319" s="49">
        <f t="shared" si="28"/>
        <v>0</v>
      </c>
      <c r="K319" s="49">
        <f t="shared" si="29"/>
        <v>1</v>
      </c>
      <c r="L319" s="59"/>
    </row>
    <row r="320" spans="1:12" x14ac:dyDescent="0.3">
      <c r="A320" s="45"/>
      <c r="B320" s="45"/>
      <c r="C320" s="45" t="s">
        <v>1609</v>
      </c>
      <c r="D320" s="45" t="s">
        <v>1694</v>
      </c>
      <c r="E320" s="57" t="s">
        <v>1605</v>
      </c>
      <c r="F320" s="57">
        <v>1</v>
      </c>
      <c r="G320" s="58">
        <f>1</f>
        <v>1</v>
      </c>
      <c r="H320" s="47">
        <f t="shared" si="26"/>
        <v>1</v>
      </c>
      <c r="I320" s="64"/>
      <c r="J320" s="49">
        <f t="shared" si="28"/>
        <v>0</v>
      </c>
      <c r="K320" s="49">
        <f t="shared" si="29"/>
        <v>1</v>
      </c>
      <c r="L320" s="59"/>
    </row>
    <row r="321" spans="1:12" x14ac:dyDescent="0.3">
      <c r="A321" s="45"/>
      <c r="B321" s="45"/>
      <c r="C321" s="45" t="s">
        <v>1611</v>
      </c>
      <c r="D321" s="45" t="s">
        <v>1756</v>
      </c>
      <c r="E321" s="57" t="s">
        <v>1605</v>
      </c>
      <c r="F321" s="57">
        <v>1</v>
      </c>
      <c r="G321" s="58">
        <f>1</f>
        <v>1</v>
      </c>
      <c r="H321" s="47">
        <f t="shared" si="26"/>
        <v>1</v>
      </c>
      <c r="I321" s="60"/>
      <c r="J321" s="49">
        <f t="shared" si="28"/>
        <v>0</v>
      </c>
      <c r="K321" s="49">
        <f t="shared" si="29"/>
        <v>1</v>
      </c>
      <c r="L321" s="59"/>
    </row>
    <row r="322" spans="1:12" x14ac:dyDescent="0.3">
      <c r="A322" s="45"/>
      <c r="B322" s="45"/>
      <c r="C322" s="45" t="s">
        <v>1757</v>
      </c>
      <c r="D322" s="45" t="s">
        <v>1614</v>
      </c>
      <c r="E322" s="57" t="s">
        <v>1660</v>
      </c>
      <c r="F322" s="63" t="s">
        <v>1661</v>
      </c>
      <c r="G322" s="58">
        <f>3.5</f>
        <v>3.5</v>
      </c>
      <c r="H322" s="47">
        <f t="shared" si="26"/>
        <v>3.5</v>
      </c>
      <c r="I322" s="60"/>
      <c r="J322" s="49">
        <f t="shared" si="28"/>
        <v>0</v>
      </c>
      <c r="K322" s="49">
        <f t="shared" si="29"/>
        <v>4</v>
      </c>
      <c r="L322" s="59"/>
    </row>
    <row r="323" spans="1:12" x14ac:dyDescent="0.3">
      <c r="A323" s="45"/>
      <c r="B323" s="45"/>
      <c r="C323" s="45" t="s">
        <v>1662</v>
      </c>
      <c r="D323" s="45" t="s">
        <v>1614</v>
      </c>
      <c r="E323" s="61" t="s">
        <v>1605</v>
      </c>
      <c r="F323" s="61" t="s">
        <v>1606</v>
      </c>
      <c r="G323" s="58">
        <f>1+1</f>
        <v>2</v>
      </c>
      <c r="H323" s="47">
        <f t="shared" si="26"/>
        <v>2</v>
      </c>
      <c r="I323" s="60"/>
      <c r="J323" s="49">
        <f t="shared" si="28"/>
        <v>0</v>
      </c>
      <c r="K323" s="49">
        <f t="shared" si="29"/>
        <v>2</v>
      </c>
      <c r="L323" s="60"/>
    </row>
    <row r="324" spans="1:12" x14ac:dyDescent="0.3">
      <c r="A324" s="45"/>
      <c r="B324" s="45"/>
      <c r="C324" s="45" t="s">
        <v>1618</v>
      </c>
      <c r="D324" s="45" t="s">
        <v>1614</v>
      </c>
      <c r="E324" s="61" t="s">
        <v>1605</v>
      </c>
      <c r="F324" s="61">
        <v>1</v>
      </c>
      <c r="G324" s="58">
        <f>1</f>
        <v>1</v>
      </c>
      <c r="H324" s="47">
        <f t="shared" si="26"/>
        <v>1</v>
      </c>
      <c r="I324" s="60"/>
      <c r="J324" s="49">
        <f t="shared" si="28"/>
        <v>0</v>
      </c>
      <c r="K324" s="49">
        <f t="shared" si="29"/>
        <v>1</v>
      </c>
      <c r="L324" s="60"/>
    </row>
    <row r="325" spans="1:12" x14ac:dyDescent="0.3">
      <c r="A325" s="44" t="s">
        <v>1758</v>
      </c>
      <c r="B325" s="44" t="s">
        <v>1758</v>
      </c>
      <c r="C325" s="45" t="s">
        <v>1481</v>
      </c>
      <c r="D325" s="45" t="s">
        <v>1482</v>
      </c>
      <c r="E325" s="45" t="s">
        <v>1483</v>
      </c>
      <c r="F325" s="45"/>
      <c r="G325" s="46"/>
      <c r="H325" s="47">
        <f t="shared" si="26"/>
        <v>0</v>
      </c>
      <c r="I325" s="48"/>
      <c r="J325" s="49">
        <f>ROUND((H325*I325),1)</f>
        <v>0</v>
      </c>
      <c r="K325" s="49">
        <f t="shared" si="29"/>
        <v>0</v>
      </c>
      <c r="L325" s="50"/>
    </row>
    <row r="326" spans="1:12" x14ac:dyDescent="0.3">
      <c r="A326" s="45"/>
      <c r="B326" s="45"/>
      <c r="C326" s="45" t="s">
        <v>1481</v>
      </c>
      <c r="D326" s="45" t="s">
        <v>1696</v>
      </c>
      <c r="E326" s="45" t="s">
        <v>1483</v>
      </c>
      <c r="F326" s="45"/>
      <c r="G326" s="46"/>
      <c r="H326" s="47">
        <f t="shared" si="26"/>
        <v>0</v>
      </c>
      <c r="I326" s="48"/>
      <c r="J326" s="49">
        <f>ROUND((H326*I326),1)</f>
        <v>0</v>
      </c>
      <c r="K326" s="49">
        <f t="shared" si="29"/>
        <v>0</v>
      </c>
      <c r="L326" s="50"/>
    </row>
    <row r="327" spans="1:12" x14ac:dyDescent="0.3">
      <c r="A327" s="45"/>
      <c r="B327" s="45"/>
      <c r="C327" s="45" t="s">
        <v>1481</v>
      </c>
      <c r="D327" s="45" t="s">
        <v>1665</v>
      </c>
      <c r="E327" s="45" t="s">
        <v>1483</v>
      </c>
      <c r="F327" s="45"/>
      <c r="G327" s="46"/>
      <c r="H327" s="47">
        <f t="shared" si="26"/>
        <v>0</v>
      </c>
      <c r="I327" s="48"/>
      <c r="J327" s="49">
        <f t="shared" ref="J327:J352" si="31">ROUND((H327*I327),1)</f>
        <v>0</v>
      </c>
      <c r="K327" s="49">
        <f t="shared" si="29"/>
        <v>0</v>
      </c>
      <c r="L327" s="50"/>
    </row>
    <row r="328" spans="1:12" x14ac:dyDescent="0.3">
      <c r="A328" s="45"/>
      <c r="B328" s="45"/>
      <c r="C328" s="45" t="s">
        <v>1481</v>
      </c>
      <c r="D328" s="45" t="s">
        <v>1697</v>
      </c>
      <c r="E328" s="45" t="s">
        <v>1483</v>
      </c>
      <c r="F328" s="45"/>
      <c r="G328" s="46"/>
      <c r="H328" s="47">
        <f t="shared" si="26"/>
        <v>0</v>
      </c>
      <c r="I328" s="48"/>
      <c r="J328" s="49">
        <f t="shared" si="31"/>
        <v>0</v>
      </c>
      <c r="K328" s="49">
        <f t="shared" si="29"/>
        <v>0</v>
      </c>
      <c r="L328" s="50"/>
    </row>
    <row r="329" spans="1:12" x14ac:dyDescent="0.3">
      <c r="A329" s="45"/>
      <c r="B329" s="45"/>
      <c r="C329" s="45" t="s">
        <v>1481</v>
      </c>
      <c r="D329" s="45" t="s">
        <v>1698</v>
      </c>
      <c r="E329" s="45" t="s">
        <v>1483</v>
      </c>
      <c r="F329" s="45">
        <v>1</v>
      </c>
      <c r="G329" s="46">
        <f>1</f>
        <v>1</v>
      </c>
      <c r="H329" s="47">
        <f t="shared" si="26"/>
        <v>1</v>
      </c>
      <c r="I329" s="48"/>
      <c r="J329" s="49">
        <f t="shared" si="31"/>
        <v>0</v>
      </c>
      <c r="K329" s="49">
        <f t="shared" si="29"/>
        <v>1</v>
      </c>
      <c r="L329" s="50"/>
    </row>
    <row r="330" spans="1:12" x14ac:dyDescent="0.3">
      <c r="A330" s="45"/>
      <c r="B330" s="45"/>
      <c r="C330" s="45" t="s">
        <v>1699</v>
      </c>
      <c r="D330" s="45" t="s">
        <v>1700</v>
      </c>
      <c r="E330" s="45" t="s">
        <v>1605</v>
      </c>
      <c r="F330" s="45">
        <v>1</v>
      </c>
      <c r="G330" s="46">
        <f>1</f>
        <v>1</v>
      </c>
      <c r="H330" s="47">
        <f t="shared" si="26"/>
        <v>1</v>
      </c>
      <c r="I330" s="48"/>
      <c r="J330" s="49">
        <f t="shared" si="31"/>
        <v>0</v>
      </c>
      <c r="K330" s="49">
        <f t="shared" si="29"/>
        <v>1</v>
      </c>
      <c r="L330" s="50"/>
    </row>
    <row r="331" spans="1:12" x14ac:dyDescent="0.3">
      <c r="A331" s="45"/>
      <c r="B331" s="45"/>
      <c r="C331" s="45" t="s">
        <v>1701</v>
      </c>
      <c r="D331" s="45" t="s">
        <v>1602</v>
      </c>
      <c r="E331" s="45" t="s">
        <v>1605</v>
      </c>
      <c r="F331" s="45"/>
      <c r="G331" s="46"/>
      <c r="H331" s="47">
        <f t="shared" si="26"/>
        <v>0</v>
      </c>
      <c r="I331" s="48"/>
      <c r="J331" s="49">
        <f t="shared" si="31"/>
        <v>0</v>
      </c>
      <c r="K331" s="49">
        <f t="shared" si="29"/>
        <v>0</v>
      </c>
      <c r="L331" s="50"/>
    </row>
    <row r="332" spans="1:12" x14ac:dyDescent="0.3">
      <c r="A332" s="45"/>
      <c r="B332" s="45"/>
      <c r="C332" s="45" t="s">
        <v>1667</v>
      </c>
      <c r="D332" s="45" t="s">
        <v>1703</v>
      </c>
      <c r="E332" s="45" t="s">
        <v>1605</v>
      </c>
      <c r="F332" s="45"/>
      <c r="G332" s="46"/>
      <c r="H332" s="47">
        <f t="shared" si="26"/>
        <v>0</v>
      </c>
      <c r="I332" s="48"/>
      <c r="J332" s="49">
        <f t="shared" si="31"/>
        <v>0</v>
      </c>
      <c r="K332" s="49">
        <f t="shared" si="29"/>
        <v>0</v>
      </c>
      <c r="L332" s="50"/>
    </row>
    <row r="333" spans="1:12" x14ac:dyDescent="0.3">
      <c r="A333" s="45"/>
      <c r="B333" s="45"/>
      <c r="C333" s="45" t="s">
        <v>1667</v>
      </c>
      <c r="D333" s="45" t="s">
        <v>1704</v>
      </c>
      <c r="E333" s="45" t="s">
        <v>1605</v>
      </c>
      <c r="F333" s="45">
        <v>1</v>
      </c>
      <c r="G333" s="46">
        <f>1</f>
        <v>1</v>
      </c>
      <c r="H333" s="47">
        <f t="shared" si="26"/>
        <v>1</v>
      </c>
      <c r="I333" s="48"/>
      <c r="J333" s="49">
        <f t="shared" si="31"/>
        <v>0</v>
      </c>
      <c r="K333" s="49">
        <f t="shared" si="29"/>
        <v>1</v>
      </c>
      <c r="L333" s="50"/>
    </row>
    <row r="334" spans="1:12" x14ac:dyDescent="0.3">
      <c r="A334" s="45"/>
      <c r="B334" s="45"/>
      <c r="C334" s="45" t="s">
        <v>1668</v>
      </c>
      <c r="D334" s="45" t="s">
        <v>1680</v>
      </c>
      <c r="E334" s="57" t="s">
        <v>1605</v>
      </c>
      <c r="F334" s="57"/>
      <c r="G334" s="58"/>
      <c r="H334" s="47">
        <f t="shared" si="26"/>
        <v>0</v>
      </c>
      <c r="I334" s="48"/>
      <c r="J334" s="49">
        <f t="shared" si="31"/>
        <v>0</v>
      </c>
      <c r="K334" s="49">
        <f t="shared" si="29"/>
        <v>0</v>
      </c>
      <c r="L334" s="59"/>
    </row>
    <row r="335" spans="1:12" x14ac:dyDescent="0.3">
      <c r="A335" s="45"/>
      <c r="B335" s="45"/>
      <c r="C335" s="45" t="s">
        <v>1705</v>
      </c>
      <c r="D335" s="45" t="s">
        <v>1680</v>
      </c>
      <c r="E335" s="57" t="s">
        <v>1605</v>
      </c>
      <c r="F335" s="57"/>
      <c r="G335" s="58"/>
      <c r="H335" s="47">
        <f t="shared" si="26"/>
        <v>0</v>
      </c>
      <c r="I335" s="48"/>
      <c r="J335" s="49">
        <f t="shared" si="31"/>
        <v>0</v>
      </c>
      <c r="K335" s="49">
        <f t="shared" si="29"/>
        <v>0</v>
      </c>
      <c r="L335" s="59"/>
    </row>
    <row r="336" spans="1:12" x14ac:dyDescent="0.3">
      <c r="A336" s="45"/>
      <c r="B336" s="45"/>
      <c r="C336" s="45" t="s">
        <v>1668</v>
      </c>
      <c r="D336" s="45" t="s">
        <v>1706</v>
      </c>
      <c r="E336" s="57" t="s">
        <v>1605</v>
      </c>
      <c r="F336" s="57"/>
      <c r="G336" s="58"/>
      <c r="H336" s="47">
        <f t="shared" si="26"/>
        <v>0</v>
      </c>
      <c r="I336" s="48"/>
      <c r="J336" s="49">
        <f t="shared" si="31"/>
        <v>0</v>
      </c>
      <c r="K336" s="49">
        <f t="shared" si="29"/>
        <v>0</v>
      </c>
      <c r="L336" s="59"/>
    </row>
    <row r="337" spans="1:12" x14ac:dyDescent="0.3">
      <c r="A337" s="45"/>
      <c r="B337" s="45"/>
      <c r="C337" s="45" t="s">
        <v>1705</v>
      </c>
      <c r="D337" s="45" t="s">
        <v>1706</v>
      </c>
      <c r="E337" s="57" t="s">
        <v>1605</v>
      </c>
      <c r="F337" s="57" t="s">
        <v>1759</v>
      </c>
      <c r="G337" s="58">
        <f>1</f>
        <v>1</v>
      </c>
      <c r="H337" s="47">
        <f t="shared" si="26"/>
        <v>1</v>
      </c>
      <c r="I337" s="48"/>
      <c r="J337" s="49">
        <f t="shared" si="31"/>
        <v>0</v>
      </c>
      <c r="K337" s="49">
        <f t="shared" si="29"/>
        <v>1</v>
      </c>
      <c r="L337" s="59"/>
    </row>
    <row r="338" spans="1:12" x14ac:dyDescent="0.3">
      <c r="A338" s="45"/>
      <c r="B338" s="45"/>
      <c r="C338" s="45" t="s">
        <v>1707</v>
      </c>
      <c r="D338" s="45" t="s">
        <v>1708</v>
      </c>
      <c r="E338" s="57" t="s">
        <v>1605</v>
      </c>
      <c r="F338" s="57"/>
      <c r="G338" s="58"/>
      <c r="H338" s="47">
        <f t="shared" si="26"/>
        <v>0</v>
      </c>
      <c r="I338" s="60"/>
      <c r="J338" s="49">
        <f t="shared" si="31"/>
        <v>0</v>
      </c>
      <c r="K338" s="49">
        <f t="shared" si="29"/>
        <v>0</v>
      </c>
      <c r="L338" s="59"/>
    </row>
    <row r="339" spans="1:12" x14ac:dyDescent="0.3">
      <c r="A339" s="45"/>
      <c r="B339" s="45"/>
      <c r="C339" s="45" t="s">
        <v>1707</v>
      </c>
      <c r="D339" s="45" t="s">
        <v>1622</v>
      </c>
      <c r="E339" s="57" t="s">
        <v>1605</v>
      </c>
      <c r="F339" s="57"/>
      <c r="G339" s="58"/>
      <c r="H339" s="47">
        <f t="shared" si="26"/>
        <v>0</v>
      </c>
      <c r="I339" s="60"/>
      <c r="J339" s="49">
        <f t="shared" si="31"/>
        <v>0</v>
      </c>
      <c r="K339" s="49">
        <f t="shared" si="29"/>
        <v>0</v>
      </c>
      <c r="L339" s="59"/>
    </row>
    <row r="340" spans="1:12" x14ac:dyDescent="0.3">
      <c r="A340" s="45"/>
      <c r="B340" s="45"/>
      <c r="C340" s="45" t="s">
        <v>1707</v>
      </c>
      <c r="D340" s="45" t="s">
        <v>1709</v>
      </c>
      <c r="E340" s="57" t="s">
        <v>1605</v>
      </c>
      <c r="F340" s="57">
        <v>1</v>
      </c>
      <c r="G340" s="58">
        <f>1</f>
        <v>1</v>
      </c>
      <c r="H340" s="47">
        <f t="shared" si="26"/>
        <v>1</v>
      </c>
      <c r="I340" s="60"/>
      <c r="J340" s="49">
        <f t="shared" si="31"/>
        <v>0</v>
      </c>
      <c r="K340" s="49">
        <f t="shared" si="29"/>
        <v>1</v>
      </c>
      <c r="L340" s="59"/>
    </row>
    <row r="341" spans="1:12" x14ac:dyDescent="0.3">
      <c r="A341" s="45"/>
      <c r="B341" s="45"/>
      <c r="C341" s="45" t="s">
        <v>1707</v>
      </c>
      <c r="D341" s="45" t="s">
        <v>1710</v>
      </c>
      <c r="E341" s="57" t="s">
        <v>1605</v>
      </c>
      <c r="F341" s="57"/>
      <c r="G341" s="58"/>
      <c r="H341" s="47">
        <f t="shared" si="26"/>
        <v>0</v>
      </c>
      <c r="I341" s="60"/>
      <c r="J341" s="49">
        <f t="shared" si="31"/>
        <v>0</v>
      </c>
      <c r="K341" s="49">
        <f t="shared" si="29"/>
        <v>0</v>
      </c>
      <c r="L341" s="59"/>
    </row>
    <row r="342" spans="1:12" x14ac:dyDescent="0.3">
      <c r="A342" s="45"/>
      <c r="B342" s="45"/>
      <c r="C342" s="45" t="s">
        <v>1711</v>
      </c>
      <c r="D342" s="45" t="s">
        <v>1669</v>
      </c>
      <c r="E342" s="61" t="s">
        <v>1605</v>
      </c>
      <c r="F342" s="61"/>
      <c r="G342" s="58"/>
      <c r="H342" s="47">
        <f t="shared" si="26"/>
        <v>0</v>
      </c>
      <c r="I342" s="62"/>
      <c r="J342" s="49">
        <f t="shared" si="31"/>
        <v>0</v>
      </c>
      <c r="K342" s="49">
        <f t="shared" si="29"/>
        <v>0</v>
      </c>
      <c r="L342" s="60"/>
    </row>
    <row r="343" spans="1:12" x14ac:dyDescent="0.3">
      <c r="A343" s="45"/>
      <c r="B343" s="45"/>
      <c r="C343" s="45" t="s">
        <v>1713</v>
      </c>
      <c r="D343" s="45" t="s">
        <v>1669</v>
      </c>
      <c r="E343" s="61" t="s">
        <v>1605</v>
      </c>
      <c r="F343" s="61"/>
      <c r="G343" s="58"/>
      <c r="H343" s="47">
        <f t="shared" si="26"/>
        <v>0</v>
      </c>
      <c r="I343" s="62"/>
      <c r="J343" s="49">
        <f t="shared" si="31"/>
        <v>0</v>
      </c>
      <c r="K343" s="49">
        <f t="shared" si="29"/>
        <v>0</v>
      </c>
      <c r="L343" s="60"/>
    </row>
    <row r="344" spans="1:12" x14ac:dyDescent="0.3">
      <c r="A344" s="45"/>
      <c r="B344" s="45"/>
      <c r="C344" s="45" t="s">
        <v>1670</v>
      </c>
      <c r="D344" s="45" t="s">
        <v>1669</v>
      </c>
      <c r="E344" s="61" t="s">
        <v>1605</v>
      </c>
      <c r="F344" s="61"/>
      <c r="G344" s="58"/>
      <c r="H344" s="47">
        <f t="shared" si="26"/>
        <v>0</v>
      </c>
      <c r="I344" s="62"/>
      <c r="J344" s="49">
        <f t="shared" si="31"/>
        <v>0</v>
      </c>
      <c r="K344" s="49">
        <f t="shared" si="29"/>
        <v>0</v>
      </c>
      <c r="L344" s="60"/>
    </row>
    <row r="345" spans="1:12" x14ac:dyDescent="0.3">
      <c r="A345" s="45"/>
      <c r="B345" s="45"/>
      <c r="C345" s="45" t="s">
        <v>1672</v>
      </c>
      <c r="D345" s="45" t="s">
        <v>1679</v>
      </c>
      <c r="E345" s="61" t="s">
        <v>74</v>
      </c>
      <c r="F345" s="61"/>
      <c r="G345" s="58"/>
      <c r="H345" s="47">
        <f t="shared" si="26"/>
        <v>0</v>
      </c>
      <c r="I345" s="62">
        <v>0.1</v>
      </c>
      <c r="J345" s="49">
        <f t="shared" si="31"/>
        <v>0</v>
      </c>
      <c r="K345" s="49">
        <f t="shared" si="29"/>
        <v>0</v>
      </c>
      <c r="L345" s="60"/>
    </row>
    <row r="346" spans="1:12" x14ac:dyDescent="0.3">
      <c r="A346" s="45"/>
      <c r="B346" s="45"/>
      <c r="C346" s="45" t="s">
        <v>1672</v>
      </c>
      <c r="D346" s="45" t="s">
        <v>315</v>
      </c>
      <c r="E346" s="57" t="s">
        <v>74</v>
      </c>
      <c r="F346" s="57"/>
      <c r="G346" s="58"/>
      <c r="H346" s="47">
        <f t="shared" si="26"/>
        <v>0</v>
      </c>
      <c r="I346" s="62">
        <v>0.1</v>
      </c>
      <c r="J346" s="49">
        <f t="shared" si="31"/>
        <v>0</v>
      </c>
      <c r="K346" s="49">
        <f t="shared" si="29"/>
        <v>0</v>
      </c>
      <c r="L346" s="59"/>
    </row>
    <row r="347" spans="1:12" x14ac:dyDescent="0.3">
      <c r="A347" s="45"/>
      <c r="B347" s="45"/>
      <c r="C347" s="45" t="s">
        <v>1672</v>
      </c>
      <c r="D347" s="45" t="s">
        <v>265</v>
      </c>
      <c r="E347" s="57" t="s">
        <v>74</v>
      </c>
      <c r="F347" s="57"/>
      <c r="G347" s="58"/>
      <c r="H347" s="47">
        <f t="shared" si="26"/>
        <v>0</v>
      </c>
      <c r="I347" s="62">
        <v>0.1</v>
      </c>
      <c r="J347" s="49">
        <f t="shared" si="31"/>
        <v>0</v>
      </c>
      <c r="K347" s="49">
        <f t="shared" si="29"/>
        <v>0</v>
      </c>
      <c r="L347" s="59"/>
    </row>
    <row r="348" spans="1:12" x14ac:dyDescent="0.3">
      <c r="A348" s="45"/>
      <c r="B348" s="45"/>
      <c r="C348" s="45" t="s">
        <v>1672</v>
      </c>
      <c r="D348" s="45" t="s">
        <v>273</v>
      </c>
      <c r="E348" s="57" t="s">
        <v>74</v>
      </c>
      <c r="F348" s="57" t="s">
        <v>1729</v>
      </c>
      <c r="G348" s="58">
        <f>2.35+1.6+0.15</f>
        <v>4.1000000000000005</v>
      </c>
      <c r="H348" s="47">
        <f t="shared" si="26"/>
        <v>4.1000000000000005</v>
      </c>
      <c r="I348" s="62">
        <v>0.1</v>
      </c>
      <c r="J348" s="49">
        <f t="shared" si="31"/>
        <v>0.4</v>
      </c>
      <c r="K348" s="49">
        <f t="shared" si="29"/>
        <v>5</v>
      </c>
      <c r="L348" s="59"/>
    </row>
    <row r="349" spans="1:12" x14ac:dyDescent="0.3">
      <c r="A349" s="45"/>
      <c r="B349" s="45"/>
      <c r="C349" s="45" t="s">
        <v>1730</v>
      </c>
      <c r="D349" s="45" t="s">
        <v>1760</v>
      </c>
      <c r="E349" s="57" t="s">
        <v>1605</v>
      </c>
      <c r="F349" s="63"/>
      <c r="G349" s="58"/>
      <c r="H349" s="47">
        <f t="shared" si="26"/>
        <v>0</v>
      </c>
      <c r="I349" s="60"/>
      <c r="J349" s="49">
        <f t="shared" si="31"/>
        <v>0</v>
      </c>
      <c r="K349" s="49">
        <f t="shared" si="29"/>
        <v>0</v>
      </c>
      <c r="L349" s="59"/>
    </row>
    <row r="350" spans="1:12" x14ac:dyDescent="0.3">
      <c r="A350" s="45"/>
      <c r="B350" s="45"/>
      <c r="C350" s="45" t="s">
        <v>1730</v>
      </c>
      <c r="D350" s="45" t="s">
        <v>1761</v>
      </c>
      <c r="E350" s="61" t="s">
        <v>1605</v>
      </c>
      <c r="F350" s="61"/>
      <c r="G350" s="58"/>
      <c r="H350" s="47">
        <f t="shared" si="26"/>
        <v>0</v>
      </c>
      <c r="I350" s="60"/>
      <c r="J350" s="49">
        <f t="shared" si="31"/>
        <v>0</v>
      </c>
      <c r="K350" s="49">
        <f t="shared" si="29"/>
        <v>0</v>
      </c>
      <c r="L350" s="60"/>
    </row>
    <row r="351" spans="1:12" x14ac:dyDescent="0.3">
      <c r="A351" s="45"/>
      <c r="B351" s="45"/>
      <c r="C351" s="45" t="s">
        <v>1730</v>
      </c>
      <c r="D351" s="45" t="s">
        <v>1762</v>
      </c>
      <c r="E351" s="61" t="s">
        <v>1605</v>
      </c>
      <c r="F351" s="61"/>
      <c r="G351" s="58"/>
      <c r="H351" s="47">
        <f t="shared" si="26"/>
        <v>0</v>
      </c>
      <c r="I351" s="60"/>
      <c r="J351" s="49">
        <f t="shared" si="31"/>
        <v>0</v>
      </c>
      <c r="K351" s="49">
        <f t="shared" si="29"/>
        <v>0</v>
      </c>
      <c r="L351" s="60"/>
    </row>
    <row r="352" spans="1:12" x14ac:dyDescent="0.3">
      <c r="A352" s="45"/>
      <c r="B352" s="45"/>
      <c r="C352" s="45" t="s">
        <v>1730</v>
      </c>
      <c r="D352" s="45" t="s">
        <v>1628</v>
      </c>
      <c r="E352" s="61" t="s">
        <v>1605</v>
      </c>
      <c r="F352" s="61"/>
      <c r="G352" s="58"/>
      <c r="H352" s="47">
        <f t="shared" si="26"/>
        <v>0</v>
      </c>
      <c r="I352" s="60"/>
      <c r="J352" s="49">
        <f t="shared" si="31"/>
        <v>0</v>
      </c>
      <c r="K352" s="49">
        <f t="shared" si="29"/>
        <v>0</v>
      </c>
      <c r="L352" s="60"/>
    </row>
    <row r="353" spans="1:12" x14ac:dyDescent="0.3">
      <c r="A353" s="45"/>
      <c r="B353" s="45"/>
      <c r="C353" s="45" t="s">
        <v>1730</v>
      </c>
      <c r="D353" s="45" t="s">
        <v>1629</v>
      </c>
      <c r="E353" s="61" t="s">
        <v>1605</v>
      </c>
      <c r="F353" s="61"/>
      <c r="G353" s="58"/>
      <c r="H353" s="47">
        <f t="shared" si="26"/>
        <v>0</v>
      </c>
      <c r="I353" s="60"/>
      <c r="J353" s="49">
        <f>ROUND((H353*I353),1)</f>
        <v>0</v>
      </c>
      <c r="K353" s="49">
        <f t="shared" si="29"/>
        <v>0</v>
      </c>
      <c r="L353" s="60"/>
    </row>
    <row r="354" spans="1:12" x14ac:dyDescent="0.3">
      <c r="A354" s="45"/>
      <c r="B354" s="45"/>
      <c r="C354" s="45" t="s">
        <v>1730</v>
      </c>
      <c r="D354" s="45" t="s">
        <v>1731</v>
      </c>
      <c r="E354" s="61" t="s">
        <v>1605</v>
      </c>
      <c r="F354" s="61"/>
      <c r="G354" s="58"/>
      <c r="H354" s="47">
        <f t="shared" si="26"/>
        <v>0</v>
      </c>
      <c r="I354" s="60"/>
      <c r="J354" s="49">
        <f t="shared" ref="J354:J379" si="32">ROUND((H354*I354),1)</f>
        <v>0</v>
      </c>
      <c r="K354" s="49">
        <f t="shared" si="29"/>
        <v>0</v>
      </c>
      <c r="L354" s="60"/>
    </row>
    <row r="355" spans="1:12" x14ac:dyDescent="0.3">
      <c r="A355" s="45"/>
      <c r="B355" s="45"/>
      <c r="C355" s="45" t="s">
        <v>1674</v>
      </c>
      <c r="D355" s="45" t="s">
        <v>1763</v>
      </c>
      <c r="E355" s="61" t="s">
        <v>1605</v>
      </c>
      <c r="F355" s="61"/>
      <c r="G355" s="58"/>
      <c r="H355" s="47">
        <f t="shared" si="26"/>
        <v>0</v>
      </c>
      <c r="I355" s="60"/>
      <c r="J355" s="49">
        <f t="shared" si="32"/>
        <v>0</v>
      </c>
      <c r="K355" s="49">
        <f t="shared" si="29"/>
        <v>0</v>
      </c>
      <c r="L355" s="60"/>
    </row>
    <row r="356" spans="1:12" x14ac:dyDescent="0.3">
      <c r="A356" s="45"/>
      <c r="B356" s="45"/>
      <c r="C356" s="45" t="s">
        <v>1674</v>
      </c>
      <c r="D356" s="45" t="s">
        <v>1764</v>
      </c>
      <c r="E356" s="61" t="s">
        <v>1605</v>
      </c>
      <c r="F356" s="61"/>
      <c r="G356" s="58"/>
      <c r="H356" s="47">
        <f t="shared" si="26"/>
        <v>0</v>
      </c>
      <c r="I356" s="60"/>
      <c r="J356" s="49">
        <f t="shared" si="32"/>
        <v>0</v>
      </c>
      <c r="K356" s="49">
        <f t="shared" si="29"/>
        <v>0</v>
      </c>
      <c r="L356" s="60"/>
    </row>
    <row r="357" spans="1:12" x14ac:dyDescent="0.3">
      <c r="A357" s="45"/>
      <c r="B357" s="45"/>
      <c r="C357" s="45" t="s">
        <v>1674</v>
      </c>
      <c r="D357" s="45" t="s">
        <v>1765</v>
      </c>
      <c r="E357" s="61" t="s">
        <v>1605</v>
      </c>
      <c r="F357" s="61"/>
      <c r="G357" s="58"/>
      <c r="H357" s="47">
        <f t="shared" si="26"/>
        <v>0</v>
      </c>
      <c r="I357" s="60"/>
      <c r="J357" s="49">
        <f t="shared" si="32"/>
        <v>0</v>
      </c>
      <c r="K357" s="49">
        <f t="shared" si="29"/>
        <v>0</v>
      </c>
      <c r="L357" s="60"/>
    </row>
    <row r="358" spans="1:12" x14ac:dyDescent="0.3">
      <c r="A358" s="45"/>
      <c r="B358" s="45"/>
      <c r="C358" s="45" t="s">
        <v>1676</v>
      </c>
      <c r="D358" s="45" t="s">
        <v>1766</v>
      </c>
      <c r="E358" s="61" t="s">
        <v>1605</v>
      </c>
      <c r="F358" s="61"/>
      <c r="G358" s="58"/>
      <c r="H358" s="47">
        <f t="shared" si="26"/>
        <v>0</v>
      </c>
      <c r="I358" s="60"/>
      <c r="J358" s="49">
        <f t="shared" si="32"/>
        <v>0</v>
      </c>
      <c r="K358" s="49">
        <f t="shared" si="29"/>
        <v>0</v>
      </c>
      <c r="L358" s="60"/>
    </row>
    <row r="359" spans="1:12" x14ac:dyDescent="0.3">
      <c r="A359" s="45"/>
      <c r="B359" s="45"/>
      <c r="C359" s="45" t="s">
        <v>1676</v>
      </c>
      <c r="D359" s="45" t="s">
        <v>1677</v>
      </c>
      <c r="E359" s="61" t="s">
        <v>1605</v>
      </c>
      <c r="F359" s="61" t="s">
        <v>1606</v>
      </c>
      <c r="G359" s="58">
        <f>1+1</f>
        <v>2</v>
      </c>
      <c r="H359" s="47">
        <f t="shared" si="26"/>
        <v>2</v>
      </c>
      <c r="I359" s="60"/>
      <c r="J359" s="49">
        <f t="shared" si="32"/>
        <v>0</v>
      </c>
      <c r="K359" s="49">
        <f t="shared" si="29"/>
        <v>2</v>
      </c>
      <c r="L359" s="60"/>
    </row>
    <row r="360" spans="1:12" x14ac:dyDescent="0.3">
      <c r="A360" s="45"/>
      <c r="B360" s="45"/>
      <c r="C360" s="45" t="s">
        <v>1676</v>
      </c>
      <c r="D360" s="45" t="s">
        <v>1678</v>
      </c>
      <c r="E360" s="61" t="s">
        <v>1605</v>
      </c>
      <c r="F360" s="61"/>
      <c r="G360" s="58"/>
      <c r="H360" s="47">
        <f t="shared" si="26"/>
        <v>0</v>
      </c>
      <c r="I360" s="60"/>
      <c r="J360" s="49">
        <f t="shared" si="32"/>
        <v>0</v>
      </c>
      <c r="K360" s="49">
        <f t="shared" si="29"/>
        <v>0</v>
      </c>
      <c r="L360" s="60"/>
    </row>
    <row r="361" spans="1:12" x14ac:dyDescent="0.3">
      <c r="A361" s="45"/>
      <c r="B361" s="45"/>
      <c r="C361" s="45" t="s">
        <v>1676</v>
      </c>
      <c r="D361" s="45" t="s">
        <v>1732</v>
      </c>
      <c r="E361" s="61" t="s">
        <v>1605</v>
      </c>
      <c r="F361" s="61"/>
      <c r="G361" s="58"/>
      <c r="H361" s="47">
        <f t="shared" si="26"/>
        <v>0</v>
      </c>
      <c r="I361" s="60"/>
      <c r="J361" s="49">
        <f t="shared" si="32"/>
        <v>0</v>
      </c>
      <c r="K361" s="49">
        <f t="shared" si="29"/>
        <v>0</v>
      </c>
      <c r="L361" s="60"/>
    </row>
    <row r="362" spans="1:12" x14ac:dyDescent="0.3">
      <c r="A362" s="45"/>
      <c r="B362" s="45"/>
      <c r="C362" s="45" t="s">
        <v>1636</v>
      </c>
      <c r="D362" s="45" t="s">
        <v>1679</v>
      </c>
      <c r="E362" s="61" t="s">
        <v>1605</v>
      </c>
      <c r="F362" s="61"/>
      <c r="G362" s="58"/>
      <c r="H362" s="47">
        <f t="shared" si="26"/>
        <v>0</v>
      </c>
      <c r="I362" s="60"/>
      <c r="J362" s="49">
        <f t="shared" si="32"/>
        <v>0</v>
      </c>
      <c r="K362" s="49">
        <f t="shared" si="29"/>
        <v>0</v>
      </c>
      <c r="L362" s="60"/>
    </row>
    <row r="363" spans="1:12" x14ac:dyDescent="0.3">
      <c r="A363" s="45"/>
      <c r="B363" s="45"/>
      <c r="C363" s="45" t="s">
        <v>1636</v>
      </c>
      <c r="D363" s="45" t="s">
        <v>1733</v>
      </c>
      <c r="E363" s="61" t="s">
        <v>1605</v>
      </c>
      <c r="F363" s="61"/>
      <c r="G363" s="58"/>
      <c r="H363" s="47">
        <f t="shared" si="26"/>
        <v>0</v>
      </c>
      <c r="I363" s="60"/>
      <c r="J363" s="49">
        <f t="shared" si="32"/>
        <v>0</v>
      </c>
      <c r="K363" s="49">
        <f t="shared" ref="K363:K391" si="33">ROUNDUP((H363+J363),0)</f>
        <v>0</v>
      </c>
      <c r="L363" s="60"/>
    </row>
    <row r="364" spans="1:12" x14ac:dyDescent="0.3">
      <c r="A364" s="45"/>
      <c r="B364" s="45"/>
      <c r="C364" s="45" t="s">
        <v>1636</v>
      </c>
      <c r="D364" s="45" t="s">
        <v>1680</v>
      </c>
      <c r="E364" s="57" t="s">
        <v>1605</v>
      </c>
      <c r="F364" s="57"/>
      <c r="G364" s="58"/>
      <c r="H364" s="47">
        <f t="shared" si="26"/>
        <v>0</v>
      </c>
      <c r="I364" s="60"/>
      <c r="J364" s="49">
        <f t="shared" si="32"/>
        <v>0</v>
      </c>
      <c r="K364" s="49">
        <f t="shared" si="33"/>
        <v>0</v>
      </c>
      <c r="L364" s="59"/>
    </row>
    <row r="365" spans="1:12" x14ac:dyDescent="0.3">
      <c r="A365" s="45"/>
      <c r="B365" s="45"/>
      <c r="C365" s="45" t="s">
        <v>1636</v>
      </c>
      <c r="D365" s="45" t="s">
        <v>1706</v>
      </c>
      <c r="E365" s="57" t="s">
        <v>1605</v>
      </c>
      <c r="F365" s="57" t="s">
        <v>1621</v>
      </c>
      <c r="G365" s="58">
        <f>1</f>
        <v>1</v>
      </c>
      <c r="H365" s="47">
        <f t="shared" si="26"/>
        <v>1</v>
      </c>
      <c r="I365" s="60"/>
      <c r="J365" s="49">
        <f t="shared" si="32"/>
        <v>0</v>
      </c>
      <c r="K365" s="49">
        <f t="shared" si="33"/>
        <v>1</v>
      </c>
      <c r="L365" s="59"/>
    </row>
    <row r="366" spans="1:12" x14ac:dyDescent="0.3">
      <c r="A366" s="45"/>
      <c r="B366" s="45"/>
      <c r="C366" s="45" t="s">
        <v>1734</v>
      </c>
      <c r="D366" s="45" t="s">
        <v>1767</v>
      </c>
      <c r="E366" s="57" t="s">
        <v>1749</v>
      </c>
      <c r="F366" s="57" t="s">
        <v>1735</v>
      </c>
      <c r="G366" s="58">
        <f>(1)*2</f>
        <v>2</v>
      </c>
      <c r="H366" s="47">
        <f t="shared" si="26"/>
        <v>2</v>
      </c>
      <c r="I366" s="64"/>
      <c r="J366" s="49">
        <f t="shared" si="32"/>
        <v>0</v>
      </c>
      <c r="K366" s="49">
        <f t="shared" si="33"/>
        <v>2</v>
      </c>
      <c r="L366" s="59"/>
    </row>
    <row r="367" spans="1:12" ht="17.45" customHeight="1" x14ac:dyDescent="0.3">
      <c r="A367" s="45"/>
      <c r="B367" s="45"/>
      <c r="C367" s="45" t="s">
        <v>1563</v>
      </c>
      <c r="D367" s="45" t="s">
        <v>1564</v>
      </c>
      <c r="E367" s="57" t="s">
        <v>1494</v>
      </c>
      <c r="F367" s="57" t="s">
        <v>1738</v>
      </c>
      <c r="G367" s="58">
        <f>(0.153*4.1)</f>
        <v>0.62729999999999997</v>
      </c>
      <c r="H367" s="47">
        <f t="shared" si="26"/>
        <v>0.62729999999999997</v>
      </c>
      <c r="I367" s="48">
        <v>0.1</v>
      </c>
      <c r="J367" s="49">
        <f t="shared" si="32"/>
        <v>0.1</v>
      </c>
      <c r="K367" s="49">
        <f t="shared" si="33"/>
        <v>1</v>
      </c>
      <c r="L367" s="59"/>
    </row>
    <row r="368" spans="1:12" x14ac:dyDescent="0.3">
      <c r="A368" s="45"/>
      <c r="B368" s="45"/>
      <c r="C368" s="45" t="s">
        <v>1566</v>
      </c>
      <c r="D368" s="45" t="s">
        <v>1567</v>
      </c>
      <c r="E368" s="61" t="s">
        <v>1568</v>
      </c>
      <c r="F368" s="61" t="s">
        <v>1685</v>
      </c>
      <c r="G368" s="58">
        <f>(0.3+0.3+0.3)*3</f>
        <v>2.6999999999999997</v>
      </c>
      <c r="H368" s="47">
        <f t="shared" si="26"/>
        <v>2.6999999999999997</v>
      </c>
      <c r="I368" s="48">
        <v>0.1</v>
      </c>
      <c r="J368" s="49">
        <f t="shared" si="32"/>
        <v>0.3</v>
      </c>
      <c r="K368" s="49">
        <f t="shared" si="33"/>
        <v>3</v>
      </c>
      <c r="L368" s="60"/>
    </row>
    <row r="369" spans="1:12" x14ac:dyDescent="0.3">
      <c r="A369" s="45"/>
      <c r="B369" s="45"/>
      <c r="C369" s="45" t="s">
        <v>1686</v>
      </c>
      <c r="D369" s="45" t="s">
        <v>1687</v>
      </c>
      <c r="E369" s="61" t="s">
        <v>1688</v>
      </c>
      <c r="F369" s="61" t="s">
        <v>1689</v>
      </c>
      <c r="G369" s="75">
        <f>2.7/1000</f>
        <v>2.7000000000000001E-3</v>
      </c>
      <c r="H369" s="76">
        <f t="shared" si="26"/>
        <v>2.7000000000000001E-3</v>
      </c>
      <c r="I369" s="60"/>
      <c r="J369" s="49">
        <f t="shared" si="32"/>
        <v>0</v>
      </c>
      <c r="K369" s="77">
        <f t="shared" ref="K369" si="34">H369+J369</f>
        <v>2.7000000000000001E-3</v>
      </c>
      <c r="L369" s="60"/>
    </row>
    <row r="370" spans="1:12" x14ac:dyDescent="0.3">
      <c r="A370" s="45"/>
      <c r="B370" s="45"/>
      <c r="C370" s="45" t="s">
        <v>1575</v>
      </c>
      <c r="D370" s="45" t="s">
        <v>1576</v>
      </c>
      <c r="E370" s="61" t="s">
        <v>1494</v>
      </c>
      <c r="F370" s="61" t="s">
        <v>1768</v>
      </c>
      <c r="G370" s="58">
        <f>4</f>
        <v>4</v>
      </c>
      <c r="H370" s="47">
        <f t="shared" si="26"/>
        <v>4</v>
      </c>
      <c r="I370" s="62"/>
      <c r="J370" s="49">
        <f t="shared" si="32"/>
        <v>0</v>
      </c>
      <c r="K370" s="49">
        <f t="shared" si="33"/>
        <v>4</v>
      </c>
      <c r="L370" s="60"/>
    </row>
    <row r="371" spans="1:12" x14ac:dyDescent="0.3">
      <c r="A371" s="45"/>
      <c r="B371" s="45"/>
      <c r="C371" s="45" t="s">
        <v>1578</v>
      </c>
      <c r="D371" s="45" t="s">
        <v>1579</v>
      </c>
      <c r="E371" s="57" t="s">
        <v>1494</v>
      </c>
      <c r="F371" s="57" t="s">
        <v>1769</v>
      </c>
      <c r="G371" s="70">
        <f>2*4</f>
        <v>8</v>
      </c>
      <c r="H371" s="47">
        <f t="shared" si="26"/>
        <v>8</v>
      </c>
      <c r="I371" s="48">
        <v>0.1</v>
      </c>
      <c r="J371" s="49">
        <f t="shared" si="32"/>
        <v>0.8</v>
      </c>
      <c r="K371" s="49">
        <f t="shared" si="33"/>
        <v>9</v>
      </c>
      <c r="L371" s="59"/>
    </row>
    <row r="372" spans="1:12" x14ac:dyDescent="0.3">
      <c r="A372" s="45"/>
      <c r="B372" s="45"/>
      <c r="C372" s="51" t="s">
        <v>1581</v>
      </c>
      <c r="D372" s="51" t="s">
        <v>1582</v>
      </c>
      <c r="E372" s="71" t="s">
        <v>1561</v>
      </c>
      <c r="F372" s="71"/>
      <c r="G372" s="72"/>
      <c r="H372" s="53">
        <f t="shared" si="26"/>
        <v>0</v>
      </c>
      <c r="I372" s="54"/>
      <c r="J372" s="55">
        <f t="shared" si="32"/>
        <v>0</v>
      </c>
      <c r="K372" s="55">
        <f t="shared" si="33"/>
        <v>0</v>
      </c>
      <c r="L372" s="73"/>
    </row>
    <row r="373" spans="1:12" x14ac:dyDescent="0.3">
      <c r="A373" s="45"/>
      <c r="B373" s="45"/>
      <c r="C373" s="51" t="s">
        <v>1581</v>
      </c>
      <c r="D373" s="51" t="s">
        <v>1583</v>
      </c>
      <c r="E373" s="71" t="s">
        <v>1561</v>
      </c>
      <c r="F373" s="71"/>
      <c r="G373" s="72"/>
      <c r="H373" s="53">
        <f t="shared" si="26"/>
        <v>0</v>
      </c>
      <c r="I373" s="54"/>
      <c r="J373" s="55">
        <f t="shared" si="32"/>
        <v>0</v>
      </c>
      <c r="K373" s="55">
        <f t="shared" si="33"/>
        <v>0</v>
      </c>
      <c r="L373" s="73"/>
    </row>
    <row r="374" spans="1:12" x14ac:dyDescent="0.3">
      <c r="A374" s="45"/>
      <c r="B374" s="45"/>
      <c r="C374" s="51" t="s">
        <v>1581</v>
      </c>
      <c r="D374" s="51" t="s">
        <v>1584</v>
      </c>
      <c r="E374" s="71" t="s">
        <v>1561</v>
      </c>
      <c r="F374" s="71">
        <v>1</v>
      </c>
      <c r="G374" s="72">
        <f>1</f>
        <v>1</v>
      </c>
      <c r="H374" s="53">
        <f t="shared" si="26"/>
        <v>1</v>
      </c>
      <c r="I374" s="54"/>
      <c r="J374" s="55">
        <f t="shared" si="32"/>
        <v>0</v>
      </c>
      <c r="K374" s="55">
        <f t="shared" si="33"/>
        <v>1</v>
      </c>
      <c r="L374" s="73"/>
    </row>
    <row r="375" spans="1:12" x14ac:dyDescent="0.3">
      <c r="A375" s="45"/>
      <c r="B375" s="45"/>
      <c r="C375" s="51" t="s">
        <v>1581</v>
      </c>
      <c r="D375" s="51" t="s">
        <v>1586</v>
      </c>
      <c r="E375" s="71" t="s">
        <v>1561</v>
      </c>
      <c r="F375" s="71"/>
      <c r="G375" s="72"/>
      <c r="H375" s="53">
        <f t="shared" si="26"/>
        <v>0</v>
      </c>
      <c r="I375" s="54"/>
      <c r="J375" s="55">
        <f t="shared" si="32"/>
        <v>0</v>
      </c>
      <c r="K375" s="55">
        <f t="shared" si="33"/>
        <v>0</v>
      </c>
      <c r="L375" s="73"/>
    </row>
    <row r="376" spans="1:12" x14ac:dyDescent="0.3">
      <c r="A376" s="45"/>
      <c r="B376" s="45"/>
      <c r="C376" s="51" t="s">
        <v>1587</v>
      </c>
      <c r="D376" s="51" t="s">
        <v>1588</v>
      </c>
      <c r="E376" s="71" t="s">
        <v>1589</v>
      </c>
      <c r="F376" s="71" t="s">
        <v>1606</v>
      </c>
      <c r="G376" s="72">
        <f>1+1</f>
        <v>2</v>
      </c>
      <c r="H376" s="53">
        <f t="shared" si="26"/>
        <v>2</v>
      </c>
      <c r="I376" s="54"/>
      <c r="J376" s="55">
        <f t="shared" si="32"/>
        <v>0</v>
      </c>
      <c r="K376" s="55">
        <f t="shared" si="33"/>
        <v>2</v>
      </c>
      <c r="L376" s="73"/>
    </row>
    <row r="377" spans="1:12" x14ac:dyDescent="0.3">
      <c r="A377" s="45"/>
      <c r="B377" s="45"/>
      <c r="C377" s="45" t="s">
        <v>1590</v>
      </c>
      <c r="D377" s="45" t="s">
        <v>1591</v>
      </c>
      <c r="E377" s="45" t="s">
        <v>1592</v>
      </c>
      <c r="F377" s="45"/>
      <c r="G377" s="46"/>
      <c r="H377" s="47">
        <f>G377</f>
        <v>0</v>
      </c>
      <c r="I377" s="48">
        <v>0.1</v>
      </c>
      <c r="J377" s="49">
        <f t="shared" si="32"/>
        <v>0</v>
      </c>
      <c r="K377" s="49">
        <f t="shared" si="33"/>
        <v>0</v>
      </c>
      <c r="L377" s="50"/>
    </row>
    <row r="378" spans="1:12" x14ac:dyDescent="0.3">
      <c r="A378" s="45"/>
      <c r="B378" s="45"/>
      <c r="C378" s="45" t="s">
        <v>1595</v>
      </c>
      <c r="D378" s="45" t="s">
        <v>1596</v>
      </c>
      <c r="E378" s="57" t="s">
        <v>1597</v>
      </c>
      <c r="F378" s="57"/>
      <c r="G378" s="58"/>
      <c r="H378" s="47">
        <f t="shared" ref="H378:H391" si="35">G378</f>
        <v>0</v>
      </c>
      <c r="I378" s="48"/>
      <c r="J378" s="49">
        <f t="shared" si="32"/>
        <v>0</v>
      </c>
      <c r="K378" s="49">
        <f t="shared" si="33"/>
        <v>0</v>
      </c>
      <c r="L378" s="59"/>
    </row>
    <row r="379" spans="1:12" x14ac:dyDescent="0.3">
      <c r="A379" s="45"/>
      <c r="B379" s="45"/>
      <c r="C379" s="45" t="s">
        <v>1724</v>
      </c>
      <c r="D379" s="45" t="s">
        <v>1496</v>
      </c>
      <c r="E379" s="57" t="s">
        <v>1599</v>
      </c>
      <c r="F379" s="57"/>
      <c r="G379" s="58"/>
      <c r="H379" s="47">
        <f t="shared" si="35"/>
        <v>0</v>
      </c>
      <c r="I379" s="48">
        <v>0.1</v>
      </c>
      <c r="J379" s="49">
        <f t="shared" si="32"/>
        <v>0</v>
      </c>
      <c r="K379" s="49">
        <f t="shared" si="33"/>
        <v>0</v>
      </c>
      <c r="L379" s="59"/>
    </row>
    <row r="380" spans="1:12" x14ac:dyDescent="0.3">
      <c r="A380" s="45"/>
      <c r="B380" s="45"/>
      <c r="C380" s="45" t="s">
        <v>1693</v>
      </c>
      <c r="D380" s="45" t="s">
        <v>1496</v>
      </c>
      <c r="E380" s="57" t="s">
        <v>1494</v>
      </c>
      <c r="F380" s="57"/>
      <c r="G380" s="58"/>
      <c r="H380" s="47">
        <f t="shared" si="35"/>
        <v>0</v>
      </c>
      <c r="I380" s="60"/>
      <c r="J380" s="49">
        <f>ROUND((H380*I380),1)</f>
        <v>0</v>
      </c>
      <c r="K380" s="49">
        <f t="shared" si="33"/>
        <v>0</v>
      </c>
      <c r="L380" s="59"/>
    </row>
    <row r="381" spans="1:12" x14ac:dyDescent="0.3">
      <c r="A381" s="45"/>
      <c r="B381" s="45"/>
      <c r="C381" s="45" t="s">
        <v>1655</v>
      </c>
      <c r="D381" s="45" t="s">
        <v>1602</v>
      </c>
      <c r="E381" s="61" t="s">
        <v>1494</v>
      </c>
      <c r="F381" s="61"/>
      <c r="G381" s="58"/>
      <c r="H381" s="47">
        <f t="shared" si="35"/>
        <v>0</v>
      </c>
      <c r="I381" s="60"/>
      <c r="J381" s="49">
        <f t="shared" ref="J381:J388" si="36">ROUND((H381*I381),1)</f>
        <v>0</v>
      </c>
      <c r="K381" s="49">
        <f t="shared" si="33"/>
        <v>0</v>
      </c>
      <c r="L381" s="60"/>
    </row>
    <row r="382" spans="1:12" x14ac:dyDescent="0.3">
      <c r="A382" s="45"/>
      <c r="B382" s="45"/>
      <c r="C382" s="45" t="s">
        <v>1656</v>
      </c>
      <c r="D382" s="45" t="s">
        <v>1654</v>
      </c>
      <c r="E382" s="61" t="s">
        <v>1605</v>
      </c>
      <c r="F382" s="61"/>
      <c r="G382" s="58"/>
      <c r="H382" s="47">
        <f t="shared" si="35"/>
        <v>0</v>
      </c>
      <c r="I382" s="62"/>
      <c r="J382" s="49">
        <f t="shared" si="36"/>
        <v>0</v>
      </c>
      <c r="K382" s="49">
        <f t="shared" si="33"/>
        <v>0</v>
      </c>
      <c r="L382" s="60"/>
    </row>
    <row r="383" spans="1:12" x14ac:dyDescent="0.3">
      <c r="A383" s="45"/>
      <c r="B383" s="45"/>
      <c r="C383" s="45" t="s">
        <v>1770</v>
      </c>
      <c r="D383" s="45" t="s">
        <v>1658</v>
      </c>
      <c r="E383" s="57" t="s">
        <v>1771</v>
      </c>
      <c r="F383" s="57"/>
      <c r="G383" s="58"/>
      <c r="H383" s="47">
        <f t="shared" si="35"/>
        <v>0</v>
      </c>
      <c r="I383" s="64"/>
      <c r="J383" s="49">
        <f t="shared" si="36"/>
        <v>0</v>
      </c>
      <c r="K383" s="49">
        <f t="shared" si="33"/>
        <v>0</v>
      </c>
      <c r="L383" s="59"/>
    </row>
    <row r="384" spans="1:12" x14ac:dyDescent="0.3">
      <c r="A384" s="45"/>
      <c r="B384" s="45"/>
      <c r="C384" s="45" t="s">
        <v>1772</v>
      </c>
      <c r="D384" s="45" t="s">
        <v>1610</v>
      </c>
      <c r="E384" s="57" t="s">
        <v>1494</v>
      </c>
      <c r="F384" s="57"/>
      <c r="G384" s="58"/>
      <c r="H384" s="47">
        <f t="shared" si="35"/>
        <v>0</v>
      </c>
      <c r="I384" s="64"/>
      <c r="J384" s="49">
        <f t="shared" si="36"/>
        <v>0</v>
      </c>
      <c r="K384" s="49">
        <f t="shared" si="33"/>
        <v>0</v>
      </c>
      <c r="L384" s="59"/>
    </row>
    <row r="385" spans="1:12" x14ac:dyDescent="0.3">
      <c r="A385" s="45"/>
      <c r="B385" s="45"/>
      <c r="C385" s="45" t="s">
        <v>1726</v>
      </c>
      <c r="D385" s="45" t="s">
        <v>1756</v>
      </c>
      <c r="E385" s="57" t="s">
        <v>1771</v>
      </c>
      <c r="F385" s="57"/>
      <c r="G385" s="58"/>
      <c r="H385" s="47">
        <f t="shared" si="35"/>
        <v>0</v>
      </c>
      <c r="I385" s="60"/>
      <c r="J385" s="49">
        <f t="shared" si="36"/>
        <v>0</v>
      </c>
      <c r="K385" s="49">
        <f t="shared" si="33"/>
        <v>0</v>
      </c>
      <c r="L385" s="59"/>
    </row>
    <row r="386" spans="1:12" x14ac:dyDescent="0.3">
      <c r="A386" s="45"/>
      <c r="B386" s="45"/>
      <c r="C386" s="45" t="s">
        <v>1773</v>
      </c>
      <c r="D386" s="45" t="s">
        <v>1614</v>
      </c>
      <c r="E386" s="57" t="s">
        <v>1568</v>
      </c>
      <c r="F386" s="63"/>
      <c r="G386" s="58"/>
      <c r="H386" s="47">
        <f t="shared" si="35"/>
        <v>0</v>
      </c>
      <c r="I386" s="60"/>
      <c r="J386" s="49">
        <f t="shared" si="36"/>
        <v>0</v>
      </c>
      <c r="K386" s="49">
        <f t="shared" si="33"/>
        <v>0</v>
      </c>
      <c r="L386" s="59"/>
    </row>
    <row r="387" spans="1:12" x14ac:dyDescent="0.3">
      <c r="A387" s="45"/>
      <c r="B387" s="45"/>
      <c r="C387" s="45" t="s">
        <v>1616</v>
      </c>
      <c r="D387" s="45" t="s">
        <v>1614</v>
      </c>
      <c r="E387" s="61" t="s">
        <v>1771</v>
      </c>
      <c r="F387" s="61"/>
      <c r="G387" s="58"/>
      <c r="H387" s="47">
        <f t="shared" si="35"/>
        <v>0</v>
      </c>
      <c r="I387" s="60"/>
      <c r="J387" s="49">
        <f t="shared" si="36"/>
        <v>0</v>
      </c>
      <c r="K387" s="49">
        <f t="shared" si="33"/>
        <v>0</v>
      </c>
      <c r="L387" s="60"/>
    </row>
    <row r="388" spans="1:12" x14ac:dyDescent="0.3">
      <c r="A388" s="45"/>
      <c r="B388" s="45"/>
      <c r="C388" s="45" t="s">
        <v>1663</v>
      </c>
      <c r="D388" s="45" t="s">
        <v>1614</v>
      </c>
      <c r="E388" s="61" t="s">
        <v>1605</v>
      </c>
      <c r="F388" s="61"/>
      <c r="G388" s="58"/>
      <c r="H388" s="47">
        <f t="shared" si="35"/>
        <v>0</v>
      </c>
      <c r="I388" s="60"/>
      <c r="J388" s="49">
        <f t="shared" si="36"/>
        <v>0</v>
      </c>
      <c r="K388" s="49">
        <f t="shared" si="33"/>
        <v>0</v>
      </c>
      <c r="L388" s="60"/>
    </row>
    <row r="389" spans="1:12" ht="27" x14ac:dyDescent="0.3">
      <c r="A389" s="44" t="s">
        <v>1774</v>
      </c>
      <c r="B389" s="44" t="s">
        <v>1775</v>
      </c>
      <c r="C389" s="80" t="s">
        <v>1779</v>
      </c>
      <c r="D389" s="80" t="s">
        <v>1780</v>
      </c>
      <c r="E389" s="45" t="s">
        <v>1483</v>
      </c>
      <c r="F389" s="45">
        <v>1</v>
      </c>
      <c r="G389" s="46">
        <f>1</f>
        <v>1</v>
      </c>
      <c r="H389" s="47">
        <f t="shared" si="35"/>
        <v>1</v>
      </c>
      <c r="I389" s="48"/>
      <c r="J389" s="49">
        <f>ROUND((H389*I389),1)</f>
        <v>0</v>
      </c>
      <c r="K389" s="49">
        <f t="shared" si="33"/>
        <v>1</v>
      </c>
      <c r="L389" s="50"/>
    </row>
    <row r="390" spans="1:12" x14ac:dyDescent="0.3">
      <c r="A390" s="45"/>
      <c r="B390" s="45"/>
      <c r="C390" s="45" t="s">
        <v>1776</v>
      </c>
      <c r="D390" s="45" t="s">
        <v>1745</v>
      </c>
      <c r="E390" s="57" t="s">
        <v>1605</v>
      </c>
      <c r="F390" s="57" t="s">
        <v>1777</v>
      </c>
      <c r="G390" s="70">
        <f>4*3</f>
        <v>12</v>
      </c>
      <c r="H390" s="47">
        <f t="shared" si="35"/>
        <v>12</v>
      </c>
      <c r="I390" s="48">
        <v>0.1</v>
      </c>
      <c r="J390" s="49">
        <f t="shared" ref="J390:J391" si="37">ROUND((H390*I390),1)</f>
        <v>1.2</v>
      </c>
      <c r="K390" s="49">
        <f t="shared" si="33"/>
        <v>14</v>
      </c>
      <c r="L390" s="59"/>
    </row>
    <row r="391" spans="1:12" x14ac:dyDescent="0.3">
      <c r="A391" s="45"/>
      <c r="B391" s="45"/>
      <c r="C391" s="45" t="s">
        <v>1651</v>
      </c>
      <c r="D391" s="45" t="s">
        <v>1496</v>
      </c>
      <c r="E391" s="57" t="s">
        <v>1652</v>
      </c>
      <c r="F391" s="57" t="s">
        <v>1778</v>
      </c>
      <c r="G391" s="58">
        <f>2+2+2</f>
        <v>6</v>
      </c>
      <c r="H391" s="47">
        <f t="shared" si="35"/>
        <v>6</v>
      </c>
      <c r="I391" s="48">
        <v>0.1</v>
      </c>
      <c r="J391" s="49">
        <f t="shared" si="37"/>
        <v>0.6</v>
      </c>
      <c r="K391" s="49">
        <f t="shared" si="33"/>
        <v>7</v>
      </c>
      <c r="L391" s="59"/>
    </row>
    <row r="392" spans="1:12" x14ac:dyDescent="0.3">
      <c r="A392" s="45"/>
      <c r="B392" s="45"/>
      <c r="C392" s="45"/>
      <c r="D392" s="45"/>
      <c r="E392" s="61"/>
      <c r="F392" s="61"/>
      <c r="G392" s="58"/>
      <c r="H392" s="47"/>
      <c r="I392" s="60"/>
      <c r="J392" s="49"/>
      <c r="K392" s="49"/>
      <c r="L392" s="60"/>
    </row>
    <row r="393" spans="1:12" x14ac:dyDescent="0.3">
      <c r="A393" s="45"/>
      <c r="B393" s="45"/>
      <c r="C393" s="45"/>
      <c r="D393" s="45"/>
      <c r="E393" s="61"/>
      <c r="F393" s="61"/>
      <c r="G393" s="58"/>
      <c r="H393" s="47"/>
      <c r="I393" s="60"/>
      <c r="J393" s="49"/>
      <c r="K393" s="49"/>
      <c r="L393" s="60"/>
    </row>
    <row r="394" spans="1:12" x14ac:dyDescent="0.3">
      <c r="A394" s="45"/>
      <c r="B394" s="45"/>
      <c r="C394" s="45"/>
      <c r="D394" s="45"/>
      <c r="E394" s="57"/>
      <c r="F394" s="57"/>
      <c r="G394" s="60"/>
      <c r="H394" s="47"/>
      <c r="I394" s="60"/>
      <c r="J394" s="49"/>
      <c r="K394" s="49"/>
      <c r="L394" s="59"/>
    </row>
    <row r="395" spans="1:12" x14ac:dyDescent="0.3">
      <c r="A395" s="45"/>
      <c r="B395" s="45"/>
      <c r="C395" s="45"/>
      <c r="D395" s="45"/>
      <c r="E395" s="57"/>
      <c r="F395" s="57"/>
      <c r="G395" s="60"/>
      <c r="H395" s="47"/>
      <c r="I395" s="60"/>
      <c r="J395" s="49"/>
      <c r="K395" s="49"/>
      <c r="L395" s="59"/>
    </row>
    <row r="396" spans="1:12" x14ac:dyDescent="0.3">
      <c r="A396" s="45"/>
      <c r="B396" s="45"/>
      <c r="C396" s="45"/>
      <c r="D396" s="45"/>
      <c r="E396" s="61"/>
      <c r="F396" s="61"/>
      <c r="G396" s="60"/>
      <c r="H396" s="47"/>
      <c r="I396" s="60"/>
      <c r="J396" s="78"/>
      <c r="K396" s="49"/>
      <c r="L396" s="60"/>
    </row>
  </sheetData>
  <mergeCells count="14">
    <mergeCell ref="I3:I4"/>
    <mergeCell ref="J3:J4"/>
    <mergeCell ref="K3:K4"/>
    <mergeCell ref="L3:L4"/>
    <mergeCell ref="A1:L1"/>
    <mergeCell ref="A2:L2"/>
    <mergeCell ref="A3:A4"/>
    <mergeCell ref="B3:B4"/>
    <mergeCell ref="C3:C4"/>
    <mergeCell ref="D3:D4"/>
    <mergeCell ref="E3:E4"/>
    <mergeCell ref="F3:F4"/>
    <mergeCell ref="G3:G4"/>
    <mergeCell ref="H3:H4"/>
  </mergeCells>
  <phoneticPr fontId="1" type="noConversion"/>
  <pageMargins left="0.59055118110236227" right="0.59055118110236227" top="0.74803149606299213" bottom="0.74803149606299213" header="0.31496062992125984" footer="0.31496062992125984"/>
  <pageSetup paperSize="9" scale="62" fitToHeight="0" orientation="landscape" r:id="rId1"/>
  <headerFooter>
    <oddFooter>&amp;C&amp;P/&amp;N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0"/>
  <sheetViews>
    <sheetView view="pageBreakPreview" zoomScaleNormal="100" zoomScaleSheetLayoutView="100" workbookViewId="0">
      <selection activeCell="A3" sqref="A3:A4"/>
    </sheetView>
  </sheetViews>
  <sheetFormatPr defaultRowHeight="16.5" x14ac:dyDescent="0.3"/>
  <cols>
    <col min="1" max="4" width="25.75" customWidth="1"/>
    <col min="5" max="5" width="7.25" style="79" customWidth="1"/>
    <col min="6" max="6" width="37.25" style="79" customWidth="1"/>
    <col min="7" max="11" width="8.25" customWidth="1"/>
    <col min="12" max="12" width="9.625" customWidth="1"/>
  </cols>
  <sheetData>
    <row r="1" spans="1:12" ht="26.25" x14ac:dyDescent="0.3">
      <c r="A1" s="119" t="s">
        <v>1781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</row>
    <row r="2" spans="1:12" s="43" customFormat="1" ht="19.149999999999999" customHeight="1" x14ac:dyDescent="0.3">
      <c r="A2" s="121" t="str">
        <f>'산출조사서(소방기계)'!A2:L2</f>
        <v>[ 사옥 이산화탄소 소화설비 교체공사 ]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</row>
    <row r="3" spans="1:12" x14ac:dyDescent="0.3">
      <c r="A3" s="120" t="s">
        <v>1473</v>
      </c>
      <c r="B3" s="120" t="s">
        <v>1474</v>
      </c>
      <c r="C3" s="120" t="s">
        <v>2</v>
      </c>
      <c r="D3" s="120" t="s">
        <v>3</v>
      </c>
      <c r="E3" s="120" t="s">
        <v>4</v>
      </c>
      <c r="F3" s="122" t="s">
        <v>1782</v>
      </c>
      <c r="G3" s="120" t="s">
        <v>5</v>
      </c>
      <c r="H3" s="120" t="s">
        <v>1783</v>
      </c>
      <c r="I3" s="120" t="s">
        <v>1477</v>
      </c>
      <c r="J3" s="120" t="s">
        <v>1784</v>
      </c>
      <c r="K3" s="120" t="s">
        <v>1785</v>
      </c>
      <c r="L3" s="120" t="s">
        <v>12</v>
      </c>
    </row>
    <row r="4" spans="1:12" x14ac:dyDescent="0.3">
      <c r="A4" s="120"/>
      <c r="B4" s="120"/>
      <c r="C4" s="120"/>
      <c r="D4" s="120"/>
      <c r="E4" s="120"/>
      <c r="F4" s="123"/>
      <c r="G4" s="120"/>
      <c r="H4" s="120"/>
      <c r="I4" s="120"/>
      <c r="J4" s="120"/>
      <c r="K4" s="120"/>
      <c r="L4" s="120"/>
    </row>
    <row r="5" spans="1:12" x14ac:dyDescent="0.3">
      <c r="A5" s="44" t="s">
        <v>1774</v>
      </c>
      <c r="B5" s="44" t="s">
        <v>1774</v>
      </c>
      <c r="C5" s="45" t="s">
        <v>1786</v>
      </c>
      <c r="D5" s="45" t="s">
        <v>1787</v>
      </c>
      <c r="E5" s="45" t="s">
        <v>1788</v>
      </c>
      <c r="F5" s="45" t="s">
        <v>1789</v>
      </c>
      <c r="G5" s="46">
        <f>32+5</f>
        <v>37</v>
      </c>
      <c r="H5" s="47">
        <f t="shared" ref="H5:H40" si="0">G5</f>
        <v>37</v>
      </c>
      <c r="I5" s="48"/>
      <c r="J5" s="49">
        <f>ROUND((H5*I5),1)</f>
        <v>0</v>
      </c>
      <c r="K5" s="49">
        <f>H5+J5</f>
        <v>37</v>
      </c>
      <c r="L5" s="50"/>
    </row>
    <row r="6" spans="1:12" x14ac:dyDescent="0.3">
      <c r="A6" s="45"/>
      <c r="B6" s="45"/>
      <c r="C6" s="45" t="s">
        <v>1790</v>
      </c>
      <c r="D6" s="45" t="s">
        <v>1791</v>
      </c>
      <c r="E6" s="45" t="s">
        <v>1792</v>
      </c>
      <c r="F6" s="45" t="s">
        <v>1793</v>
      </c>
      <c r="G6" s="46">
        <f>1+1</f>
        <v>2</v>
      </c>
      <c r="H6" s="47">
        <f t="shared" si="0"/>
        <v>2</v>
      </c>
      <c r="I6" s="48"/>
      <c r="J6" s="49">
        <f>ROUND((H6*I6),1)</f>
        <v>0</v>
      </c>
      <c r="K6" s="49">
        <f>H6+J6</f>
        <v>2</v>
      </c>
      <c r="L6" s="50"/>
    </row>
    <row r="7" spans="1:12" x14ac:dyDescent="0.3">
      <c r="A7" s="45"/>
      <c r="B7" s="45"/>
      <c r="C7" s="45" t="s">
        <v>1794</v>
      </c>
      <c r="D7" s="45"/>
      <c r="E7" s="45" t="s">
        <v>1792</v>
      </c>
      <c r="F7" s="45" t="s">
        <v>1795</v>
      </c>
      <c r="G7" s="46">
        <f>2+3</f>
        <v>5</v>
      </c>
      <c r="H7" s="47">
        <f t="shared" si="0"/>
        <v>5</v>
      </c>
      <c r="I7" s="48"/>
      <c r="J7" s="49">
        <f t="shared" ref="J7:J13" si="1">ROUND((H7*I7),1)</f>
        <v>0</v>
      </c>
      <c r="K7" s="49">
        <f>H7+J7</f>
        <v>5</v>
      </c>
      <c r="L7" s="50"/>
    </row>
    <row r="8" spans="1:12" x14ac:dyDescent="0.3">
      <c r="A8" s="45"/>
      <c r="B8" s="45"/>
      <c r="C8" s="45" t="s">
        <v>1796</v>
      </c>
      <c r="D8" s="45" t="s">
        <v>1791</v>
      </c>
      <c r="E8" s="45" t="s">
        <v>1797</v>
      </c>
      <c r="F8" s="45" t="s">
        <v>1798</v>
      </c>
      <c r="G8" s="46">
        <f>(4+1+2)*3</f>
        <v>21</v>
      </c>
      <c r="H8" s="47">
        <f t="shared" si="0"/>
        <v>21</v>
      </c>
      <c r="I8" s="48"/>
      <c r="J8" s="49">
        <f t="shared" si="1"/>
        <v>0</v>
      </c>
      <c r="K8" s="49">
        <f>H8+J8</f>
        <v>21</v>
      </c>
      <c r="L8" s="50"/>
    </row>
    <row r="9" spans="1:12" x14ac:dyDescent="0.3">
      <c r="A9" s="45"/>
      <c r="B9" s="45"/>
      <c r="C9" s="45" t="s">
        <v>1796</v>
      </c>
      <c r="D9" s="45" t="s">
        <v>1799</v>
      </c>
      <c r="E9" s="45" t="s">
        <v>1660</v>
      </c>
      <c r="F9" s="45" t="s">
        <v>1800</v>
      </c>
      <c r="G9" s="46">
        <f>(4+1+2)*2</f>
        <v>14</v>
      </c>
      <c r="H9" s="47">
        <f t="shared" si="0"/>
        <v>14</v>
      </c>
      <c r="I9" s="48"/>
      <c r="J9" s="49">
        <f t="shared" si="1"/>
        <v>0</v>
      </c>
      <c r="K9" s="49">
        <f>H9+J9</f>
        <v>14</v>
      </c>
      <c r="L9" s="50"/>
    </row>
    <row r="10" spans="1:12" x14ac:dyDescent="0.3">
      <c r="A10" s="45"/>
      <c r="B10" s="45"/>
      <c r="C10" s="45" t="s">
        <v>1801</v>
      </c>
      <c r="D10" s="45" t="s">
        <v>1802</v>
      </c>
      <c r="E10" s="45" t="s">
        <v>1797</v>
      </c>
      <c r="F10" s="45"/>
      <c r="G10" s="46"/>
      <c r="H10" s="47">
        <f t="shared" si="0"/>
        <v>0</v>
      </c>
      <c r="I10" s="48"/>
      <c r="J10" s="49">
        <f t="shared" si="1"/>
        <v>0</v>
      </c>
      <c r="K10" s="49">
        <f t="shared" ref="K10:K13" si="2">H10+J10</f>
        <v>0</v>
      </c>
      <c r="L10" s="50"/>
    </row>
    <row r="11" spans="1:12" x14ac:dyDescent="0.3">
      <c r="A11" s="45"/>
      <c r="B11" s="45"/>
      <c r="C11" s="45" t="s">
        <v>1796</v>
      </c>
      <c r="D11" s="45" t="s">
        <v>1803</v>
      </c>
      <c r="E11" s="45" t="s">
        <v>1797</v>
      </c>
      <c r="F11" s="45"/>
      <c r="G11" s="46"/>
      <c r="H11" s="47">
        <f t="shared" si="0"/>
        <v>0</v>
      </c>
      <c r="I11" s="48"/>
      <c r="J11" s="49">
        <f t="shared" si="1"/>
        <v>0</v>
      </c>
      <c r="K11" s="49">
        <f t="shared" si="2"/>
        <v>0</v>
      </c>
      <c r="L11" s="50"/>
    </row>
    <row r="12" spans="1:12" x14ac:dyDescent="0.3">
      <c r="A12" s="45"/>
      <c r="B12" s="45"/>
      <c r="C12" s="45" t="s">
        <v>1796</v>
      </c>
      <c r="D12" s="45" t="s">
        <v>1804</v>
      </c>
      <c r="E12" s="45" t="s">
        <v>1797</v>
      </c>
      <c r="F12" s="45"/>
      <c r="G12" s="46"/>
      <c r="H12" s="47">
        <f t="shared" si="0"/>
        <v>0</v>
      </c>
      <c r="I12" s="48"/>
      <c r="J12" s="49">
        <f t="shared" si="1"/>
        <v>0</v>
      </c>
      <c r="K12" s="49">
        <f t="shared" si="2"/>
        <v>0</v>
      </c>
      <c r="L12" s="50"/>
    </row>
    <row r="13" spans="1:12" x14ac:dyDescent="0.3">
      <c r="A13" s="45"/>
      <c r="B13" s="45"/>
      <c r="C13" s="45" t="s">
        <v>1805</v>
      </c>
      <c r="D13" s="45" t="s">
        <v>1804</v>
      </c>
      <c r="E13" s="57" t="s">
        <v>1806</v>
      </c>
      <c r="F13" s="57"/>
      <c r="G13" s="58"/>
      <c r="H13" s="47">
        <f t="shared" si="0"/>
        <v>0</v>
      </c>
      <c r="I13" s="48"/>
      <c r="J13" s="49">
        <f t="shared" si="1"/>
        <v>0</v>
      </c>
      <c r="K13" s="49">
        <f t="shared" si="2"/>
        <v>0</v>
      </c>
      <c r="L13" s="59"/>
    </row>
    <row r="14" spans="1:12" x14ac:dyDescent="0.3">
      <c r="A14" s="44" t="s">
        <v>1807</v>
      </c>
      <c r="B14" s="44" t="s">
        <v>1808</v>
      </c>
      <c r="C14" s="45" t="s">
        <v>1786</v>
      </c>
      <c r="D14" s="45" t="s">
        <v>1787</v>
      </c>
      <c r="E14" s="45" t="s">
        <v>1809</v>
      </c>
      <c r="F14" s="45"/>
      <c r="G14" s="46"/>
      <c r="H14" s="47">
        <f t="shared" si="0"/>
        <v>0</v>
      </c>
      <c r="I14" s="48"/>
      <c r="J14" s="49">
        <f>ROUND((H14*I14),1)</f>
        <v>0</v>
      </c>
      <c r="K14" s="49">
        <f>H14+J14</f>
        <v>0</v>
      </c>
      <c r="L14" s="50"/>
    </row>
    <row r="15" spans="1:12" x14ac:dyDescent="0.3">
      <c r="A15" s="45"/>
      <c r="B15" s="45"/>
      <c r="C15" s="45" t="s">
        <v>1790</v>
      </c>
      <c r="D15" s="45" t="s">
        <v>1791</v>
      </c>
      <c r="E15" s="45" t="s">
        <v>1792</v>
      </c>
      <c r="F15" s="45"/>
      <c r="G15" s="46"/>
      <c r="H15" s="47">
        <f t="shared" si="0"/>
        <v>0</v>
      </c>
      <c r="I15" s="48"/>
      <c r="J15" s="49">
        <f>ROUND((H15*I15),1)</f>
        <v>0</v>
      </c>
      <c r="K15" s="49">
        <f>H15+J15</f>
        <v>0</v>
      </c>
      <c r="L15" s="50"/>
    </row>
    <row r="16" spans="1:12" x14ac:dyDescent="0.3">
      <c r="A16" s="45"/>
      <c r="B16" s="45"/>
      <c r="C16" s="45" t="s">
        <v>1794</v>
      </c>
      <c r="D16" s="45"/>
      <c r="E16" s="45" t="s">
        <v>1792</v>
      </c>
      <c r="F16" s="45"/>
      <c r="G16" s="46"/>
      <c r="H16" s="47">
        <f t="shared" si="0"/>
        <v>0</v>
      </c>
      <c r="I16" s="48"/>
      <c r="J16" s="49">
        <f t="shared" ref="J16:J22" si="3">ROUND((H16*I16),1)</f>
        <v>0</v>
      </c>
      <c r="K16" s="49">
        <f>H16+J16</f>
        <v>0</v>
      </c>
      <c r="L16" s="50"/>
    </row>
    <row r="17" spans="1:12" x14ac:dyDescent="0.3">
      <c r="A17" s="45" t="s">
        <v>1810</v>
      </c>
      <c r="B17" s="45"/>
      <c r="C17" s="51" t="s">
        <v>1801</v>
      </c>
      <c r="D17" s="51" t="s">
        <v>1791</v>
      </c>
      <c r="E17" s="51" t="s">
        <v>1797</v>
      </c>
      <c r="F17" s="51" t="s">
        <v>1811</v>
      </c>
      <c r="G17" s="52"/>
      <c r="H17" s="53">
        <f t="shared" si="0"/>
        <v>0</v>
      </c>
      <c r="I17" s="54"/>
      <c r="J17" s="55">
        <f t="shared" si="3"/>
        <v>0</v>
      </c>
      <c r="K17" s="55">
        <f>H17+J17</f>
        <v>0</v>
      </c>
      <c r="L17" s="56" t="s">
        <v>1812</v>
      </c>
    </row>
    <row r="18" spans="1:12" x14ac:dyDescent="0.3">
      <c r="A18" s="45"/>
      <c r="B18" s="45"/>
      <c r="C18" s="45" t="s">
        <v>1801</v>
      </c>
      <c r="D18" s="45" t="s">
        <v>1733</v>
      </c>
      <c r="E18" s="45" t="s">
        <v>1797</v>
      </c>
      <c r="F18" s="45"/>
      <c r="G18" s="46"/>
      <c r="H18" s="47">
        <f t="shared" si="0"/>
        <v>0</v>
      </c>
      <c r="I18" s="48"/>
      <c r="J18" s="49">
        <f t="shared" si="3"/>
        <v>0</v>
      </c>
      <c r="K18" s="49">
        <f>H18+J18</f>
        <v>0</v>
      </c>
      <c r="L18" s="50"/>
    </row>
    <row r="19" spans="1:12" x14ac:dyDescent="0.3">
      <c r="A19" s="45"/>
      <c r="B19" s="45"/>
      <c r="C19" s="45" t="s">
        <v>1796</v>
      </c>
      <c r="D19" s="45" t="s">
        <v>1706</v>
      </c>
      <c r="E19" s="45" t="s">
        <v>1797</v>
      </c>
      <c r="F19" s="45"/>
      <c r="G19" s="46"/>
      <c r="H19" s="47">
        <f t="shared" si="0"/>
        <v>0</v>
      </c>
      <c r="I19" s="48"/>
      <c r="J19" s="49">
        <f t="shared" si="3"/>
        <v>0</v>
      </c>
      <c r="K19" s="49">
        <f t="shared" ref="K19:K22" si="4">H19+J19</f>
        <v>0</v>
      </c>
      <c r="L19" s="50"/>
    </row>
    <row r="20" spans="1:12" x14ac:dyDescent="0.3">
      <c r="A20" s="45"/>
      <c r="B20" s="45"/>
      <c r="C20" s="45" t="s">
        <v>1796</v>
      </c>
      <c r="D20" s="45" t="s">
        <v>1813</v>
      </c>
      <c r="E20" s="45" t="s">
        <v>1660</v>
      </c>
      <c r="F20" s="45"/>
      <c r="G20" s="46"/>
      <c r="H20" s="47">
        <f t="shared" si="0"/>
        <v>0</v>
      </c>
      <c r="I20" s="48"/>
      <c r="J20" s="49">
        <f t="shared" si="3"/>
        <v>0</v>
      </c>
      <c r="K20" s="49">
        <f t="shared" si="4"/>
        <v>0</v>
      </c>
      <c r="L20" s="50"/>
    </row>
    <row r="21" spans="1:12" x14ac:dyDescent="0.3">
      <c r="A21" s="45"/>
      <c r="B21" s="45"/>
      <c r="C21" s="45" t="s">
        <v>1801</v>
      </c>
      <c r="D21" s="45" t="s">
        <v>1814</v>
      </c>
      <c r="E21" s="45" t="s">
        <v>1815</v>
      </c>
      <c r="F21" s="45"/>
      <c r="G21" s="46"/>
      <c r="H21" s="47">
        <f t="shared" si="0"/>
        <v>0</v>
      </c>
      <c r="I21" s="48"/>
      <c r="J21" s="49">
        <f t="shared" si="3"/>
        <v>0</v>
      </c>
      <c r="K21" s="49">
        <f t="shared" si="4"/>
        <v>0</v>
      </c>
      <c r="L21" s="50"/>
    </row>
    <row r="22" spans="1:12" x14ac:dyDescent="0.3">
      <c r="A22" s="45"/>
      <c r="B22" s="45"/>
      <c r="C22" s="45" t="s">
        <v>1805</v>
      </c>
      <c r="D22" s="45" t="s">
        <v>1804</v>
      </c>
      <c r="E22" s="57" t="s">
        <v>1806</v>
      </c>
      <c r="F22" s="57"/>
      <c r="G22" s="58"/>
      <c r="H22" s="47">
        <f t="shared" si="0"/>
        <v>0</v>
      </c>
      <c r="I22" s="48"/>
      <c r="J22" s="49">
        <f t="shared" si="3"/>
        <v>0</v>
      </c>
      <c r="K22" s="49">
        <f t="shared" si="4"/>
        <v>0</v>
      </c>
      <c r="L22" s="59"/>
    </row>
    <row r="23" spans="1:12" x14ac:dyDescent="0.3">
      <c r="A23" s="44" t="s">
        <v>1816</v>
      </c>
      <c r="B23" s="44" t="s">
        <v>1817</v>
      </c>
      <c r="C23" s="45" t="s">
        <v>1786</v>
      </c>
      <c r="D23" s="45" t="s">
        <v>1787</v>
      </c>
      <c r="E23" s="45" t="s">
        <v>1788</v>
      </c>
      <c r="F23" s="45"/>
      <c r="G23" s="46"/>
      <c r="H23" s="47">
        <f t="shared" si="0"/>
        <v>0</v>
      </c>
      <c r="I23" s="48"/>
      <c r="J23" s="49">
        <f>ROUND((H23*I23),1)</f>
        <v>0</v>
      </c>
      <c r="K23" s="49">
        <f>H23+J23</f>
        <v>0</v>
      </c>
      <c r="L23" s="50"/>
    </row>
    <row r="24" spans="1:12" x14ac:dyDescent="0.3">
      <c r="A24" s="45"/>
      <c r="B24" s="45"/>
      <c r="C24" s="45" t="s">
        <v>1790</v>
      </c>
      <c r="D24" s="45" t="s">
        <v>1818</v>
      </c>
      <c r="E24" s="45" t="s">
        <v>1792</v>
      </c>
      <c r="F24" s="45"/>
      <c r="G24" s="46"/>
      <c r="H24" s="47">
        <f t="shared" si="0"/>
        <v>0</v>
      </c>
      <c r="I24" s="48"/>
      <c r="J24" s="49">
        <f>ROUND((H24*I24),1)</f>
        <v>0</v>
      </c>
      <c r="K24" s="49">
        <f>H24+J24</f>
        <v>0</v>
      </c>
      <c r="L24" s="50"/>
    </row>
    <row r="25" spans="1:12" x14ac:dyDescent="0.3">
      <c r="A25" s="45"/>
      <c r="B25" s="45"/>
      <c r="C25" s="45" t="s">
        <v>1794</v>
      </c>
      <c r="D25" s="45"/>
      <c r="E25" s="45" t="s">
        <v>1749</v>
      </c>
      <c r="F25" s="45"/>
      <c r="G25" s="46"/>
      <c r="H25" s="47">
        <f t="shared" si="0"/>
        <v>0</v>
      </c>
      <c r="I25" s="48"/>
      <c r="J25" s="49">
        <f t="shared" ref="J25:J31" si="5">ROUND((H25*I25),1)</f>
        <v>0</v>
      </c>
      <c r="K25" s="49">
        <f>H25+J25</f>
        <v>0</v>
      </c>
      <c r="L25" s="50"/>
    </row>
    <row r="26" spans="1:12" x14ac:dyDescent="0.3">
      <c r="A26" s="45"/>
      <c r="B26" s="45"/>
      <c r="C26" s="45" t="s">
        <v>1801</v>
      </c>
      <c r="D26" s="45" t="s">
        <v>1791</v>
      </c>
      <c r="E26" s="45" t="s">
        <v>1797</v>
      </c>
      <c r="F26" s="45" t="s">
        <v>1819</v>
      </c>
      <c r="G26" s="46">
        <f>1.5+4.3+1.7</f>
        <v>7.5</v>
      </c>
      <c r="H26" s="47">
        <f t="shared" si="0"/>
        <v>7.5</v>
      </c>
      <c r="I26" s="48"/>
      <c r="J26" s="49">
        <f t="shared" si="5"/>
        <v>0</v>
      </c>
      <c r="K26" s="49">
        <f t="shared" ref="K26:K30" si="6">ROUNDUP((H26+J26),0)</f>
        <v>8</v>
      </c>
      <c r="L26" s="50"/>
    </row>
    <row r="27" spans="1:12" x14ac:dyDescent="0.3">
      <c r="A27" s="45"/>
      <c r="B27" s="45"/>
      <c r="C27" s="45" t="s">
        <v>1796</v>
      </c>
      <c r="D27" s="45" t="s">
        <v>1799</v>
      </c>
      <c r="E27" s="45" t="s">
        <v>1797</v>
      </c>
      <c r="F27" s="45" t="s">
        <v>1820</v>
      </c>
      <c r="G27" s="46">
        <f>5.3+5.3</f>
        <v>10.6</v>
      </c>
      <c r="H27" s="47">
        <f t="shared" si="0"/>
        <v>10.6</v>
      </c>
      <c r="I27" s="48"/>
      <c r="J27" s="49">
        <f t="shared" si="5"/>
        <v>0</v>
      </c>
      <c r="K27" s="49">
        <f t="shared" si="6"/>
        <v>11</v>
      </c>
      <c r="L27" s="50"/>
    </row>
    <row r="28" spans="1:12" x14ac:dyDescent="0.3">
      <c r="A28" s="45"/>
      <c r="B28" s="45"/>
      <c r="C28" s="45" t="s">
        <v>1796</v>
      </c>
      <c r="D28" s="45" t="s">
        <v>1802</v>
      </c>
      <c r="E28" s="45" t="s">
        <v>1815</v>
      </c>
      <c r="F28" s="45">
        <v>4</v>
      </c>
      <c r="G28" s="46">
        <f>4</f>
        <v>4</v>
      </c>
      <c r="H28" s="47">
        <f t="shared" si="0"/>
        <v>4</v>
      </c>
      <c r="I28" s="48"/>
      <c r="J28" s="49">
        <f t="shared" si="5"/>
        <v>0</v>
      </c>
      <c r="K28" s="49">
        <f t="shared" si="6"/>
        <v>4</v>
      </c>
      <c r="L28" s="50"/>
    </row>
    <row r="29" spans="1:12" x14ac:dyDescent="0.3">
      <c r="A29" s="45"/>
      <c r="B29" s="45"/>
      <c r="C29" s="45" t="s">
        <v>1796</v>
      </c>
      <c r="D29" s="45" t="s">
        <v>1803</v>
      </c>
      <c r="E29" s="45" t="s">
        <v>1797</v>
      </c>
      <c r="F29" s="45">
        <v>4.5999999999999996</v>
      </c>
      <c r="G29" s="46">
        <f>4.6</f>
        <v>4.5999999999999996</v>
      </c>
      <c r="H29" s="47">
        <f t="shared" si="0"/>
        <v>4.5999999999999996</v>
      </c>
      <c r="I29" s="48"/>
      <c r="J29" s="49">
        <f t="shared" si="5"/>
        <v>0</v>
      </c>
      <c r="K29" s="49">
        <f t="shared" si="6"/>
        <v>5</v>
      </c>
      <c r="L29" s="50"/>
    </row>
    <row r="30" spans="1:12" x14ac:dyDescent="0.3">
      <c r="A30" s="45"/>
      <c r="B30" s="45"/>
      <c r="C30" s="45" t="s">
        <v>1796</v>
      </c>
      <c r="D30" s="45" t="s">
        <v>1804</v>
      </c>
      <c r="E30" s="45" t="s">
        <v>1815</v>
      </c>
      <c r="F30" s="45" t="s">
        <v>1821</v>
      </c>
      <c r="G30" s="46">
        <f>6.5*3</f>
        <v>19.5</v>
      </c>
      <c r="H30" s="47">
        <f t="shared" si="0"/>
        <v>19.5</v>
      </c>
      <c r="I30" s="48"/>
      <c r="J30" s="49">
        <f t="shared" si="5"/>
        <v>0</v>
      </c>
      <c r="K30" s="49">
        <f t="shared" si="6"/>
        <v>20</v>
      </c>
      <c r="L30" s="50"/>
    </row>
    <row r="31" spans="1:12" x14ac:dyDescent="0.3">
      <c r="A31" s="45"/>
      <c r="B31" s="45"/>
      <c r="C31" s="51" t="s">
        <v>1822</v>
      </c>
      <c r="D31" s="51" t="s">
        <v>1804</v>
      </c>
      <c r="E31" s="71" t="s">
        <v>1823</v>
      </c>
      <c r="F31" s="71" t="s">
        <v>1824</v>
      </c>
      <c r="G31" s="81">
        <f>1+1+3</f>
        <v>5</v>
      </c>
      <c r="H31" s="53">
        <f t="shared" si="0"/>
        <v>5</v>
      </c>
      <c r="I31" s="54"/>
      <c r="J31" s="55">
        <f t="shared" si="5"/>
        <v>0</v>
      </c>
      <c r="K31" s="55">
        <f t="shared" ref="K31" si="7">H31+J31</f>
        <v>5</v>
      </c>
      <c r="L31" s="73"/>
    </row>
    <row r="32" spans="1:12" x14ac:dyDescent="0.3">
      <c r="A32" s="44" t="s">
        <v>1816</v>
      </c>
      <c r="B32" s="44" t="s">
        <v>1825</v>
      </c>
      <c r="C32" s="45" t="s">
        <v>1786</v>
      </c>
      <c r="D32" s="45" t="s">
        <v>1826</v>
      </c>
      <c r="E32" s="45" t="s">
        <v>1788</v>
      </c>
      <c r="F32" s="45"/>
      <c r="G32" s="46"/>
      <c r="H32" s="47">
        <f t="shared" si="0"/>
        <v>0</v>
      </c>
      <c r="I32" s="48"/>
      <c r="J32" s="49">
        <f>ROUND((H32*I32),1)</f>
        <v>0</v>
      </c>
      <c r="K32" s="49">
        <f>H32+J32</f>
        <v>0</v>
      </c>
      <c r="L32" s="50"/>
    </row>
    <row r="33" spans="1:12" x14ac:dyDescent="0.3">
      <c r="A33" s="45"/>
      <c r="B33" s="45"/>
      <c r="C33" s="45" t="s">
        <v>1827</v>
      </c>
      <c r="D33" s="45" t="s">
        <v>1828</v>
      </c>
      <c r="E33" s="45" t="s">
        <v>1749</v>
      </c>
      <c r="F33" s="45"/>
      <c r="G33" s="46"/>
      <c r="H33" s="47">
        <f t="shared" si="0"/>
        <v>0</v>
      </c>
      <c r="I33" s="48"/>
      <c r="J33" s="49">
        <f>ROUND((H33*I33),1)</f>
        <v>0</v>
      </c>
      <c r="K33" s="49">
        <f>H33+J33</f>
        <v>0</v>
      </c>
      <c r="L33" s="50"/>
    </row>
    <row r="34" spans="1:12" x14ac:dyDescent="0.3">
      <c r="A34" s="45"/>
      <c r="B34" s="45"/>
      <c r="C34" s="45" t="s">
        <v>1829</v>
      </c>
      <c r="D34" s="45"/>
      <c r="E34" s="45" t="s">
        <v>1792</v>
      </c>
      <c r="F34" s="45"/>
      <c r="G34" s="46"/>
      <c r="H34" s="47">
        <f t="shared" si="0"/>
        <v>0</v>
      </c>
      <c r="I34" s="48"/>
      <c r="J34" s="49">
        <f t="shared" ref="J34:J40" si="8">ROUND((H34*I34),1)</f>
        <v>0</v>
      </c>
      <c r="K34" s="49">
        <f>H34+J34</f>
        <v>0</v>
      </c>
      <c r="L34" s="50"/>
    </row>
    <row r="35" spans="1:12" x14ac:dyDescent="0.3">
      <c r="A35" s="45"/>
      <c r="B35" s="45"/>
      <c r="C35" s="45" t="s">
        <v>1801</v>
      </c>
      <c r="D35" s="45" t="s">
        <v>1791</v>
      </c>
      <c r="E35" s="45" t="s">
        <v>1660</v>
      </c>
      <c r="F35" s="45">
        <v>3</v>
      </c>
      <c r="G35" s="46">
        <f>3</f>
        <v>3</v>
      </c>
      <c r="H35" s="47">
        <f t="shared" si="0"/>
        <v>3</v>
      </c>
      <c r="I35" s="48"/>
      <c r="J35" s="49">
        <f t="shared" si="8"/>
        <v>0</v>
      </c>
      <c r="K35" s="49">
        <f t="shared" ref="K35:K39" si="9">ROUNDUP((H35+J35),0)</f>
        <v>3</v>
      </c>
      <c r="L35" s="50"/>
    </row>
    <row r="36" spans="1:12" x14ac:dyDescent="0.3">
      <c r="A36" s="45"/>
      <c r="B36" s="45"/>
      <c r="C36" s="45" t="s">
        <v>1830</v>
      </c>
      <c r="D36" s="45" t="s">
        <v>1733</v>
      </c>
      <c r="E36" s="45" t="s">
        <v>1815</v>
      </c>
      <c r="F36" s="45">
        <v>6.4</v>
      </c>
      <c r="G36" s="46">
        <f>5.3+5.3</f>
        <v>10.6</v>
      </c>
      <c r="H36" s="47">
        <f t="shared" si="0"/>
        <v>10.6</v>
      </c>
      <c r="I36" s="48"/>
      <c r="J36" s="49">
        <f t="shared" si="8"/>
        <v>0</v>
      </c>
      <c r="K36" s="49">
        <f t="shared" si="9"/>
        <v>11</v>
      </c>
      <c r="L36" s="50"/>
    </row>
    <row r="37" spans="1:12" ht="62.45" customHeight="1" x14ac:dyDescent="0.3">
      <c r="A37" s="45"/>
      <c r="B37" s="45"/>
      <c r="C37" s="51" t="s">
        <v>1796</v>
      </c>
      <c r="D37" s="51" t="s">
        <v>1706</v>
      </c>
      <c r="E37" s="51" t="s">
        <v>1797</v>
      </c>
      <c r="F37" s="51" t="s">
        <v>1831</v>
      </c>
      <c r="G37" s="52">
        <f>3.9+4.7+2.9+4.7+1.6</f>
        <v>17.8</v>
      </c>
      <c r="H37" s="53">
        <f t="shared" si="0"/>
        <v>17.8</v>
      </c>
      <c r="I37" s="54"/>
      <c r="J37" s="55">
        <f t="shared" si="8"/>
        <v>0</v>
      </c>
      <c r="K37" s="55">
        <f t="shared" si="9"/>
        <v>18</v>
      </c>
      <c r="L37" s="124" t="s">
        <v>1832</v>
      </c>
    </row>
    <row r="38" spans="1:12" x14ac:dyDescent="0.3">
      <c r="A38" s="45"/>
      <c r="B38" s="45"/>
      <c r="C38" s="51" t="s">
        <v>1796</v>
      </c>
      <c r="D38" s="51" t="s">
        <v>1803</v>
      </c>
      <c r="E38" s="51" t="s">
        <v>1660</v>
      </c>
      <c r="F38" s="51" t="s">
        <v>1833</v>
      </c>
      <c r="G38" s="52">
        <f>2+2+2</f>
        <v>6</v>
      </c>
      <c r="H38" s="53">
        <f t="shared" si="0"/>
        <v>6</v>
      </c>
      <c r="I38" s="54"/>
      <c r="J38" s="55">
        <f t="shared" si="8"/>
        <v>0</v>
      </c>
      <c r="K38" s="55">
        <f t="shared" si="9"/>
        <v>6</v>
      </c>
      <c r="L38" s="125"/>
    </row>
    <row r="39" spans="1:12" x14ac:dyDescent="0.3">
      <c r="A39" s="45"/>
      <c r="B39" s="45"/>
      <c r="C39" s="45" t="s">
        <v>1801</v>
      </c>
      <c r="D39" s="45" t="s">
        <v>1804</v>
      </c>
      <c r="E39" s="45" t="s">
        <v>1660</v>
      </c>
      <c r="F39" s="45"/>
      <c r="G39" s="46"/>
      <c r="H39" s="47">
        <f t="shared" si="0"/>
        <v>0</v>
      </c>
      <c r="I39" s="48"/>
      <c r="J39" s="49">
        <f t="shared" si="8"/>
        <v>0</v>
      </c>
      <c r="K39" s="49">
        <f t="shared" si="9"/>
        <v>0</v>
      </c>
      <c r="L39" s="50"/>
    </row>
    <row r="40" spans="1:12" x14ac:dyDescent="0.3">
      <c r="A40" s="45"/>
      <c r="B40" s="45"/>
      <c r="C40" s="51" t="s">
        <v>1822</v>
      </c>
      <c r="D40" s="51" t="s">
        <v>1804</v>
      </c>
      <c r="E40" s="71" t="s">
        <v>1806</v>
      </c>
      <c r="F40" s="51" t="s">
        <v>1834</v>
      </c>
      <c r="G40" s="52">
        <f>2+2+2</f>
        <v>6</v>
      </c>
      <c r="H40" s="53">
        <f t="shared" si="0"/>
        <v>6</v>
      </c>
      <c r="I40" s="54"/>
      <c r="J40" s="55">
        <f t="shared" si="8"/>
        <v>0</v>
      </c>
      <c r="K40" s="55">
        <f t="shared" ref="K40" si="10">H40+J40</f>
        <v>6</v>
      </c>
      <c r="L40" s="73"/>
    </row>
  </sheetData>
  <mergeCells count="15">
    <mergeCell ref="L37:L38"/>
    <mergeCell ref="A1:L1"/>
    <mergeCell ref="A2:L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</mergeCells>
  <phoneticPr fontId="1" type="noConversion"/>
  <pageMargins left="0.59055118110236227" right="0.59055118110236227" top="0.74803149606299213" bottom="0.74803149606299213" header="0.31496062992125984" footer="0.31496062992125984"/>
  <pageSetup paperSize="9" scale="62" fitToHeight="0" orientation="landscape" r:id="rId1"/>
  <headerFooter>
    <oddFooter>&amp;C&amp;P/&amp;N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41"/>
  <sheetViews>
    <sheetView topLeftCell="A112" zoomScale="70" zoomScaleNormal="70" workbookViewId="0">
      <selection activeCell="R119" sqref="R119"/>
    </sheetView>
  </sheetViews>
  <sheetFormatPr defaultRowHeight="16.5" x14ac:dyDescent="0.3"/>
  <cols>
    <col min="1" max="1" width="18.375" bestFit="1" customWidth="1"/>
    <col min="2" max="2" width="34.625" bestFit="1" customWidth="1"/>
    <col min="3" max="3" width="44.625" bestFit="1" customWidth="1"/>
    <col min="4" max="4" width="5.875" bestFit="1" customWidth="1"/>
    <col min="5" max="5" width="11.25" bestFit="1" customWidth="1"/>
    <col min="6" max="6" width="6.625" bestFit="1" customWidth="1"/>
    <col min="7" max="7" width="11.75" bestFit="1" customWidth="1"/>
    <col min="8" max="8" width="6.625" bestFit="1" customWidth="1"/>
    <col min="9" max="9" width="11.75" bestFit="1" customWidth="1"/>
    <col min="10" max="10" width="6.625" bestFit="1" customWidth="1"/>
    <col min="11" max="11" width="11.75" bestFit="1" customWidth="1"/>
    <col min="12" max="12" width="9" bestFit="1" customWidth="1"/>
    <col min="13" max="13" width="11.75" bestFit="1" customWidth="1"/>
    <col min="14" max="14" width="9" bestFit="1" customWidth="1"/>
    <col min="15" max="16" width="11.75" bestFit="1" customWidth="1"/>
    <col min="17" max="17" width="11.25" bestFit="1" customWidth="1"/>
    <col min="18" max="21" width="9.25" bestFit="1" customWidth="1"/>
    <col min="22" max="22" width="10.25" bestFit="1" customWidth="1"/>
    <col min="23" max="23" width="8.875" bestFit="1" customWidth="1"/>
    <col min="24" max="24" width="15.125" bestFit="1" customWidth="1"/>
    <col min="25" max="26" width="9" hidden="1" customWidth="1"/>
    <col min="27" max="27" width="11" hidden="1" customWidth="1"/>
    <col min="28" max="28" width="9" hidden="1" customWidth="1"/>
  </cols>
  <sheetData>
    <row r="1" spans="1:28" ht="30" customHeight="1" x14ac:dyDescent="0.3">
      <c r="A1" s="126" t="s">
        <v>922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</row>
    <row r="2" spans="1:28" ht="30" customHeight="1" x14ac:dyDescent="0.3">
      <c r="A2" s="107" t="str">
        <f>'산출조사서(철거공사)'!A2:L2</f>
        <v>[ 사옥 이산화탄소 소화설비 교체공사 ]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</row>
    <row r="3" spans="1:28" ht="30" customHeight="1" x14ac:dyDescent="0.3">
      <c r="A3" s="112" t="s">
        <v>576</v>
      </c>
      <c r="B3" s="112" t="s">
        <v>2</v>
      </c>
      <c r="C3" s="112" t="s">
        <v>923</v>
      </c>
      <c r="D3" s="112" t="s">
        <v>4</v>
      </c>
      <c r="E3" s="112" t="s">
        <v>6</v>
      </c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 t="s">
        <v>578</v>
      </c>
      <c r="Q3" s="112" t="s">
        <v>579</v>
      </c>
      <c r="R3" s="112"/>
      <c r="S3" s="112"/>
      <c r="T3" s="112"/>
      <c r="U3" s="112"/>
      <c r="V3" s="112"/>
      <c r="W3" s="112" t="s">
        <v>581</v>
      </c>
      <c r="X3" s="112" t="s">
        <v>12</v>
      </c>
      <c r="Y3" s="114" t="s">
        <v>931</v>
      </c>
      <c r="Z3" s="114" t="s">
        <v>932</v>
      </c>
      <c r="AA3" s="114" t="s">
        <v>933</v>
      </c>
      <c r="AB3" s="114" t="s">
        <v>48</v>
      </c>
    </row>
    <row r="4" spans="1:28" ht="30" customHeight="1" x14ac:dyDescent="0.3">
      <c r="A4" s="112"/>
      <c r="B4" s="112"/>
      <c r="C4" s="112"/>
      <c r="D4" s="112"/>
      <c r="E4" s="10" t="s">
        <v>924</v>
      </c>
      <c r="F4" s="10" t="s">
        <v>925</v>
      </c>
      <c r="G4" s="10" t="s">
        <v>926</v>
      </c>
      <c r="H4" s="10" t="s">
        <v>925</v>
      </c>
      <c r="I4" s="10" t="s">
        <v>927</v>
      </c>
      <c r="J4" s="10" t="s">
        <v>925</v>
      </c>
      <c r="K4" s="10" t="s">
        <v>928</v>
      </c>
      <c r="L4" s="10" t="s">
        <v>925</v>
      </c>
      <c r="M4" s="10" t="s">
        <v>929</v>
      </c>
      <c r="N4" s="10" t="s">
        <v>925</v>
      </c>
      <c r="O4" s="10" t="s">
        <v>930</v>
      </c>
      <c r="P4" s="112"/>
      <c r="Q4" s="10" t="s">
        <v>924</v>
      </c>
      <c r="R4" s="10" t="s">
        <v>926</v>
      </c>
      <c r="S4" s="10" t="s">
        <v>927</v>
      </c>
      <c r="T4" s="10" t="s">
        <v>928</v>
      </c>
      <c r="U4" s="10" t="s">
        <v>929</v>
      </c>
      <c r="V4" s="10" t="s">
        <v>930</v>
      </c>
      <c r="W4" s="112"/>
      <c r="X4" s="112"/>
      <c r="Y4" s="114"/>
      <c r="Z4" s="114"/>
      <c r="AA4" s="114"/>
      <c r="AB4" s="114"/>
    </row>
    <row r="5" spans="1:28" ht="30" customHeight="1" x14ac:dyDescent="0.3">
      <c r="A5" s="17" t="s">
        <v>934</v>
      </c>
      <c r="B5" s="17" t="s">
        <v>604</v>
      </c>
      <c r="C5" s="17" t="s">
        <v>599</v>
      </c>
      <c r="D5" s="30" t="s">
        <v>122</v>
      </c>
      <c r="E5" s="31">
        <v>0</v>
      </c>
      <c r="F5" s="17" t="s">
        <v>51</v>
      </c>
      <c r="G5" s="31">
        <v>0</v>
      </c>
      <c r="H5" s="17" t="s">
        <v>51</v>
      </c>
      <c r="I5" s="31">
        <v>0</v>
      </c>
      <c r="J5" s="17" t="s">
        <v>51</v>
      </c>
      <c r="K5" s="31">
        <v>0</v>
      </c>
      <c r="L5" s="17" t="s">
        <v>51</v>
      </c>
      <c r="M5" s="31">
        <v>0</v>
      </c>
      <c r="N5" s="17" t="s">
        <v>51</v>
      </c>
      <c r="O5" s="31">
        <v>0</v>
      </c>
      <c r="P5" s="31">
        <v>0</v>
      </c>
      <c r="Q5" s="31">
        <v>0</v>
      </c>
      <c r="R5" s="31">
        <v>0</v>
      </c>
      <c r="S5" s="31">
        <v>0</v>
      </c>
      <c r="T5" s="31">
        <v>0</v>
      </c>
      <c r="U5" s="31">
        <v>774</v>
      </c>
      <c r="V5" s="31">
        <f>SMALL(Q5:U5,COUNTIF(Q5:U5,0)+1)</f>
        <v>774</v>
      </c>
      <c r="W5" s="17" t="s">
        <v>605</v>
      </c>
      <c r="X5" s="17" t="s">
        <v>935</v>
      </c>
      <c r="Y5" s="2" t="s">
        <v>51</v>
      </c>
      <c r="Z5" s="2" t="s">
        <v>51</v>
      </c>
      <c r="AA5" s="32"/>
      <c r="AB5" s="2" t="s">
        <v>51</v>
      </c>
    </row>
    <row r="6" spans="1:28" ht="30" customHeight="1" x14ac:dyDescent="0.3">
      <c r="A6" s="17" t="s">
        <v>936</v>
      </c>
      <c r="B6" s="17" t="s">
        <v>611</v>
      </c>
      <c r="C6" s="17" t="s">
        <v>612</v>
      </c>
      <c r="D6" s="30" t="s">
        <v>122</v>
      </c>
      <c r="E6" s="31">
        <v>0</v>
      </c>
      <c r="F6" s="17" t="s">
        <v>51</v>
      </c>
      <c r="G6" s="31">
        <v>0</v>
      </c>
      <c r="H6" s="17" t="s">
        <v>51</v>
      </c>
      <c r="I6" s="31">
        <v>0</v>
      </c>
      <c r="J6" s="17" t="s">
        <v>51</v>
      </c>
      <c r="K6" s="31">
        <v>0</v>
      </c>
      <c r="L6" s="17" t="s">
        <v>51</v>
      </c>
      <c r="M6" s="31">
        <v>0</v>
      </c>
      <c r="N6" s="17" t="s">
        <v>51</v>
      </c>
      <c r="O6" s="31">
        <v>0</v>
      </c>
      <c r="P6" s="31">
        <v>0</v>
      </c>
      <c r="Q6" s="31">
        <v>0</v>
      </c>
      <c r="R6" s="31">
        <v>0</v>
      </c>
      <c r="S6" s="31">
        <v>0</v>
      </c>
      <c r="T6" s="31">
        <v>0</v>
      </c>
      <c r="U6" s="31">
        <v>583</v>
      </c>
      <c r="V6" s="31">
        <f>SMALL(Q6:U6,COUNTIF(Q6:U6,0)+1)</f>
        <v>583</v>
      </c>
      <c r="W6" s="17" t="s">
        <v>615</v>
      </c>
      <c r="X6" s="17" t="s">
        <v>935</v>
      </c>
      <c r="Y6" s="2" t="s">
        <v>51</v>
      </c>
      <c r="Z6" s="2" t="s">
        <v>51</v>
      </c>
      <c r="AA6" s="32"/>
      <c r="AB6" s="2" t="s">
        <v>51</v>
      </c>
    </row>
    <row r="7" spans="1:28" ht="30" customHeight="1" x14ac:dyDescent="0.3">
      <c r="A7" s="17" t="s">
        <v>937</v>
      </c>
      <c r="B7" s="17" t="s">
        <v>685</v>
      </c>
      <c r="C7" s="17" t="s">
        <v>686</v>
      </c>
      <c r="D7" s="30" t="s">
        <v>687</v>
      </c>
      <c r="E7" s="31">
        <v>2.5</v>
      </c>
      <c r="F7" s="17" t="s">
        <v>51</v>
      </c>
      <c r="G7" s="31">
        <v>4.37</v>
      </c>
      <c r="H7" s="17" t="s">
        <v>938</v>
      </c>
      <c r="I7" s="31">
        <v>3.33</v>
      </c>
      <c r="J7" s="17" t="s">
        <v>939</v>
      </c>
      <c r="K7" s="31">
        <v>0</v>
      </c>
      <c r="L7" s="17" t="s">
        <v>51</v>
      </c>
      <c r="M7" s="31">
        <v>0</v>
      </c>
      <c r="N7" s="17" t="s">
        <v>51</v>
      </c>
      <c r="O7" s="31">
        <f t="shared" ref="O7:O39" si="0">SMALL(E7:M7,COUNTIF(E7:M7,0)+1)</f>
        <v>2.5</v>
      </c>
      <c r="P7" s="31">
        <v>0</v>
      </c>
      <c r="Q7" s="31">
        <v>0</v>
      </c>
      <c r="R7" s="31">
        <v>0</v>
      </c>
      <c r="S7" s="31">
        <v>0</v>
      </c>
      <c r="T7" s="31">
        <v>0</v>
      </c>
      <c r="U7" s="31">
        <v>0</v>
      </c>
      <c r="V7" s="31">
        <v>0</v>
      </c>
      <c r="W7" s="17" t="s">
        <v>688</v>
      </c>
      <c r="X7" s="17" t="s">
        <v>940</v>
      </c>
      <c r="Y7" s="2" t="s">
        <v>51</v>
      </c>
      <c r="Z7" s="2" t="s">
        <v>51</v>
      </c>
      <c r="AA7" s="32"/>
      <c r="AB7" s="2" t="s">
        <v>51</v>
      </c>
    </row>
    <row r="8" spans="1:28" ht="30" customHeight="1" x14ac:dyDescent="0.3">
      <c r="A8" s="17" t="s">
        <v>941</v>
      </c>
      <c r="B8" s="17" t="s">
        <v>691</v>
      </c>
      <c r="C8" s="17" t="s">
        <v>692</v>
      </c>
      <c r="D8" s="30" t="s">
        <v>107</v>
      </c>
      <c r="E8" s="31">
        <v>30000</v>
      </c>
      <c r="F8" s="17" t="s">
        <v>51</v>
      </c>
      <c r="G8" s="31">
        <v>52000</v>
      </c>
      <c r="H8" s="17" t="s">
        <v>938</v>
      </c>
      <c r="I8" s="31">
        <v>30000</v>
      </c>
      <c r="J8" s="17" t="s">
        <v>939</v>
      </c>
      <c r="K8" s="31">
        <v>0</v>
      </c>
      <c r="L8" s="17" t="s">
        <v>51</v>
      </c>
      <c r="M8" s="31">
        <v>0</v>
      </c>
      <c r="N8" s="17" t="s">
        <v>51</v>
      </c>
      <c r="O8" s="31">
        <f t="shared" si="0"/>
        <v>30000</v>
      </c>
      <c r="P8" s="31">
        <v>0</v>
      </c>
      <c r="Q8" s="31">
        <v>0</v>
      </c>
      <c r="R8" s="31">
        <v>0</v>
      </c>
      <c r="S8" s="31">
        <v>0</v>
      </c>
      <c r="T8" s="31">
        <v>0</v>
      </c>
      <c r="U8" s="31">
        <v>0</v>
      </c>
      <c r="V8" s="31">
        <v>0</v>
      </c>
      <c r="W8" s="17" t="s">
        <v>693</v>
      </c>
      <c r="X8" s="17" t="s">
        <v>51</v>
      </c>
      <c r="Y8" s="2" t="s">
        <v>51</v>
      </c>
      <c r="Z8" s="2" t="s">
        <v>51</v>
      </c>
      <c r="AA8" s="32"/>
      <c r="AB8" s="2" t="s">
        <v>51</v>
      </c>
    </row>
    <row r="9" spans="1:28" ht="30" customHeight="1" x14ac:dyDescent="0.3">
      <c r="A9" s="17" t="s">
        <v>942</v>
      </c>
      <c r="B9" s="17" t="s">
        <v>680</v>
      </c>
      <c r="C9" s="17" t="s">
        <v>681</v>
      </c>
      <c r="D9" s="30" t="s">
        <v>107</v>
      </c>
      <c r="E9" s="31">
        <v>3397</v>
      </c>
      <c r="F9" s="17" t="s">
        <v>51</v>
      </c>
      <c r="G9" s="31">
        <v>3297</v>
      </c>
      <c r="H9" s="17" t="s">
        <v>943</v>
      </c>
      <c r="I9" s="31">
        <v>4500</v>
      </c>
      <c r="J9" s="17" t="s">
        <v>944</v>
      </c>
      <c r="K9" s="31">
        <v>0</v>
      </c>
      <c r="L9" s="17" t="s">
        <v>51</v>
      </c>
      <c r="M9" s="31">
        <v>0</v>
      </c>
      <c r="N9" s="17" t="s">
        <v>51</v>
      </c>
      <c r="O9" s="31">
        <f t="shared" si="0"/>
        <v>3297</v>
      </c>
      <c r="P9" s="31">
        <v>0</v>
      </c>
      <c r="Q9" s="31">
        <v>0</v>
      </c>
      <c r="R9" s="31">
        <v>0</v>
      </c>
      <c r="S9" s="31">
        <v>0</v>
      </c>
      <c r="T9" s="31">
        <v>0</v>
      </c>
      <c r="U9" s="31">
        <v>0</v>
      </c>
      <c r="V9" s="31">
        <v>0</v>
      </c>
      <c r="W9" s="17" t="s">
        <v>682</v>
      </c>
      <c r="X9" s="17" t="s">
        <v>51</v>
      </c>
      <c r="Y9" s="2" t="s">
        <v>51</v>
      </c>
      <c r="Z9" s="2" t="s">
        <v>51</v>
      </c>
      <c r="AA9" s="32"/>
      <c r="AB9" s="2" t="s">
        <v>51</v>
      </c>
    </row>
    <row r="10" spans="1:28" ht="30" customHeight="1" x14ac:dyDescent="0.3">
      <c r="A10" s="17" t="s">
        <v>945</v>
      </c>
      <c r="B10" s="17" t="s">
        <v>791</v>
      </c>
      <c r="C10" s="17" t="s">
        <v>792</v>
      </c>
      <c r="D10" s="30" t="s">
        <v>74</v>
      </c>
      <c r="E10" s="31">
        <v>356</v>
      </c>
      <c r="F10" s="17" t="s">
        <v>51</v>
      </c>
      <c r="G10" s="31">
        <v>493</v>
      </c>
      <c r="H10" s="17" t="s">
        <v>946</v>
      </c>
      <c r="I10" s="31">
        <v>576</v>
      </c>
      <c r="J10" s="17" t="s">
        <v>947</v>
      </c>
      <c r="K10" s="31">
        <v>0</v>
      </c>
      <c r="L10" s="17" t="s">
        <v>51</v>
      </c>
      <c r="M10" s="31">
        <v>0</v>
      </c>
      <c r="N10" s="17" t="s">
        <v>51</v>
      </c>
      <c r="O10" s="31">
        <f t="shared" si="0"/>
        <v>356</v>
      </c>
      <c r="P10" s="31">
        <v>0</v>
      </c>
      <c r="Q10" s="31">
        <v>0</v>
      </c>
      <c r="R10" s="31">
        <v>0</v>
      </c>
      <c r="S10" s="31">
        <v>0</v>
      </c>
      <c r="T10" s="31">
        <v>0</v>
      </c>
      <c r="U10" s="31">
        <v>0</v>
      </c>
      <c r="V10" s="31">
        <v>0</v>
      </c>
      <c r="W10" s="17" t="s">
        <v>793</v>
      </c>
      <c r="X10" s="17" t="s">
        <v>51</v>
      </c>
      <c r="Y10" s="2" t="s">
        <v>51</v>
      </c>
      <c r="Z10" s="2" t="s">
        <v>51</v>
      </c>
      <c r="AA10" s="32"/>
      <c r="AB10" s="2" t="s">
        <v>51</v>
      </c>
    </row>
    <row r="11" spans="1:28" ht="30" customHeight="1" x14ac:dyDescent="0.3">
      <c r="A11" s="17" t="s">
        <v>948</v>
      </c>
      <c r="B11" s="17" t="s">
        <v>791</v>
      </c>
      <c r="C11" s="17" t="s">
        <v>799</v>
      </c>
      <c r="D11" s="30" t="s">
        <v>74</v>
      </c>
      <c r="E11" s="31">
        <v>544</v>
      </c>
      <c r="F11" s="17" t="s">
        <v>51</v>
      </c>
      <c r="G11" s="31">
        <v>749</v>
      </c>
      <c r="H11" s="17" t="s">
        <v>946</v>
      </c>
      <c r="I11" s="31">
        <v>929</v>
      </c>
      <c r="J11" s="17" t="s">
        <v>947</v>
      </c>
      <c r="K11" s="31">
        <v>0</v>
      </c>
      <c r="L11" s="17" t="s">
        <v>51</v>
      </c>
      <c r="M11" s="31">
        <v>0</v>
      </c>
      <c r="N11" s="17" t="s">
        <v>51</v>
      </c>
      <c r="O11" s="31">
        <f t="shared" si="0"/>
        <v>544</v>
      </c>
      <c r="P11" s="31">
        <v>0</v>
      </c>
      <c r="Q11" s="31">
        <v>0</v>
      </c>
      <c r="R11" s="31">
        <v>0</v>
      </c>
      <c r="S11" s="31">
        <v>0</v>
      </c>
      <c r="T11" s="31">
        <v>0</v>
      </c>
      <c r="U11" s="31">
        <v>0</v>
      </c>
      <c r="V11" s="31">
        <v>0</v>
      </c>
      <c r="W11" s="17" t="s">
        <v>800</v>
      </c>
      <c r="X11" s="17" t="s">
        <v>51</v>
      </c>
      <c r="Y11" s="2" t="s">
        <v>51</v>
      </c>
      <c r="Z11" s="2" t="s">
        <v>51</v>
      </c>
      <c r="AA11" s="32"/>
      <c r="AB11" s="2" t="s">
        <v>51</v>
      </c>
    </row>
    <row r="12" spans="1:28" ht="30" customHeight="1" x14ac:dyDescent="0.3">
      <c r="A12" s="17" t="s">
        <v>949</v>
      </c>
      <c r="B12" s="17" t="s">
        <v>807</v>
      </c>
      <c r="C12" s="17" t="s">
        <v>808</v>
      </c>
      <c r="D12" s="30" t="s">
        <v>74</v>
      </c>
      <c r="E12" s="31">
        <v>4856</v>
      </c>
      <c r="F12" s="17" t="s">
        <v>51</v>
      </c>
      <c r="G12" s="31">
        <v>7266</v>
      </c>
      <c r="H12" s="17" t="s">
        <v>950</v>
      </c>
      <c r="I12" s="31">
        <v>6107</v>
      </c>
      <c r="J12" s="17" t="s">
        <v>951</v>
      </c>
      <c r="K12" s="31">
        <v>0</v>
      </c>
      <c r="L12" s="17" t="s">
        <v>51</v>
      </c>
      <c r="M12" s="31">
        <v>0</v>
      </c>
      <c r="N12" s="17" t="s">
        <v>51</v>
      </c>
      <c r="O12" s="31">
        <f t="shared" si="0"/>
        <v>4856</v>
      </c>
      <c r="P12" s="31">
        <v>0</v>
      </c>
      <c r="Q12" s="31">
        <v>0</v>
      </c>
      <c r="R12" s="31">
        <v>0</v>
      </c>
      <c r="S12" s="31">
        <v>0</v>
      </c>
      <c r="T12" s="31">
        <v>0</v>
      </c>
      <c r="U12" s="31">
        <v>0</v>
      </c>
      <c r="V12" s="31">
        <v>0</v>
      </c>
      <c r="W12" s="17" t="s">
        <v>809</v>
      </c>
      <c r="X12" s="17" t="s">
        <v>51</v>
      </c>
      <c r="Y12" s="2" t="s">
        <v>51</v>
      </c>
      <c r="Z12" s="2" t="s">
        <v>51</v>
      </c>
      <c r="AA12" s="32"/>
      <c r="AB12" s="2" t="s">
        <v>51</v>
      </c>
    </row>
    <row r="13" spans="1:28" ht="30" customHeight="1" x14ac:dyDescent="0.3">
      <c r="A13" s="17" t="s">
        <v>952</v>
      </c>
      <c r="B13" s="17" t="s">
        <v>635</v>
      </c>
      <c r="C13" s="17" t="s">
        <v>660</v>
      </c>
      <c r="D13" s="30" t="s">
        <v>132</v>
      </c>
      <c r="E13" s="31">
        <v>1330</v>
      </c>
      <c r="F13" s="17" t="s">
        <v>51</v>
      </c>
      <c r="G13" s="31">
        <v>1400</v>
      </c>
      <c r="H13" s="17" t="s">
        <v>953</v>
      </c>
      <c r="I13" s="31">
        <v>0</v>
      </c>
      <c r="J13" s="17" t="s">
        <v>51</v>
      </c>
      <c r="K13" s="31">
        <v>0</v>
      </c>
      <c r="L13" s="17" t="s">
        <v>51</v>
      </c>
      <c r="M13" s="31">
        <v>0</v>
      </c>
      <c r="N13" s="17" t="s">
        <v>51</v>
      </c>
      <c r="O13" s="31">
        <f t="shared" si="0"/>
        <v>1330</v>
      </c>
      <c r="P13" s="31">
        <v>0</v>
      </c>
      <c r="Q13" s="31">
        <v>0</v>
      </c>
      <c r="R13" s="31">
        <v>0</v>
      </c>
      <c r="S13" s="31">
        <v>0</v>
      </c>
      <c r="T13" s="31">
        <v>0</v>
      </c>
      <c r="U13" s="31">
        <v>0</v>
      </c>
      <c r="V13" s="31">
        <v>0</v>
      </c>
      <c r="W13" s="17" t="s">
        <v>661</v>
      </c>
      <c r="X13" s="17" t="s">
        <v>51</v>
      </c>
      <c r="Y13" s="2" t="s">
        <v>51</v>
      </c>
      <c r="Z13" s="2" t="s">
        <v>51</v>
      </c>
      <c r="AA13" s="32"/>
      <c r="AB13" s="2" t="s">
        <v>51</v>
      </c>
    </row>
    <row r="14" spans="1:28" ht="30" customHeight="1" x14ac:dyDescent="0.3">
      <c r="A14" s="17" t="s">
        <v>954</v>
      </c>
      <c r="B14" s="17" t="s">
        <v>635</v>
      </c>
      <c r="C14" s="17" t="s">
        <v>636</v>
      </c>
      <c r="D14" s="30" t="s">
        <v>132</v>
      </c>
      <c r="E14" s="31">
        <v>27739</v>
      </c>
      <c r="F14" s="17" t="s">
        <v>51</v>
      </c>
      <c r="G14" s="31">
        <v>0</v>
      </c>
      <c r="H14" s="17" t="s">
        <v>51</v>
      </c>
      <c r="I14" s="31">
        <v>0</v>
      </c>
      <c r="J14" s="17" t="s">
        <v>51</v>
      </c>
      <c r="K14" s="31">
        <v>0</v>
      </c>
      <c r="L14" s="17" t="s">
        <v>51</v>
      </c>
      <c r="M14" s="31">
        <v>0</v>
      </c>
      <c r="N14" s="17" t="s">
        <v>51</v>
      </c>
      <c r="O14" s="31">
        <f t="shared" si="0"/>
        <v>27739</v>
      </c>
      <c r="P14" s="31">
        <v>0</v>
      </c>
      <c r="Q14" s="31">
        <v>0</v>
      </c>
      <c r="R14" s="31">
        <v>0</v>
      </c>
      <c r="S14" s="31">
        <v>0</v>
      </c>
      <c r="T14" s="31">
        <v>0</v>
      </c>
      <c r="U14" s="31">
        <v>0</v>
      </c>
      <c r="V14" s="31">
        <v>0</v>
      </c>
      <c r="W14" s="17" t="s">
        <v>637</v>
      </c>
      <c r="X14" s="17" t="s">
        <v>51</v>
      </c>
      <c r="Y14" s="2" t="s">
        <v>51</v>
      </c>
      <c r="Z14" s="2" t="s">
        <v>51</v>
      </c>
      <c r="AA14" s="32"/>
      <c r="AB14" s="2" t="s">
        <v>51</v>
      </c>
    </row>
    <row r="15" spans="1:28" ht="30" customHeight="1" x14ac:dyDescent="0.3">
      <c r="A15" s="17" t="s">
        <v>955</v>
      </c>
      <c r="B15" s="17" t="s">
        <v>635</v>
      </c>
      <c r="C15" s="17" t="s">
        <v>640</v>
      </c>
      <c r="D15" s="30" t="s">
        <v>132</v>
      </c>
      <c r="E15" s="31">
        <v>9246</v>
      </c>
      <c r="F15" s="17" t="s">
        <v>51</v>
      </c>
      <c r="G15" s="31">
        <v>10000</v>
      </c>
      <c r="H15" s="17" t="s">
        <v>953</v>
      </c>
      <c r="I15" s="31">
        <v>0</v>
      </c>
      <c r="J15" s="17" t="s">
        <v>51</v>
      </c>
      <c r="K15" s="31">
        <v>0</v>
      </c>
      <c r="L15" s="17" t="s">
        <v>51</v>
      </c>
      <c r="M15" s="31">
        <v>0</v>
      </c>
      <c r="N15" s="17" t="s">
        <v>51</v>
      </c>
      <c r="O15" s="31">
        <f t="shared" si="0"/>
        <v>9246</v>
      </c>
      <c r="P15" s="31">
        <v>0</v>
      </c>
      <c r="Q15" s="31">
        <v>0</v>
      </c>
      <c r="R15" s="31">
        <v>0</v>
      </c>
      <c r="S15" s="31">
        <v>0</v>
      </c>
      <c r="T15" s="31">
        <v>0</v>
      </c>
      <c r="U15" s="31">
        <v>0</v>
      </c>
      <c r="V15" s="31">
        <v>0</v>
      </c>
      <c r="W15" s="17" t="s">
        <v>641</v>
      </c>
      <c r="X15" s="17" t="s">
        <v>51</v>
      </c>
      <c r="Y15" s="2" t="s">
        <v>51</v>
      </c>
      <c r="Z15" s="2" t="s">
        <v>51</v>
      </c>
      <c r="AA15" s="32"/>
      <c r="AB15" s="2" t="s">
        <v>51</v>
      </c>
    </row>
    <row r="16" spans="1:28" ht="30" customHeight="1" x14ac:dyDescent="0.3">
      <c r="A16" s="17" t="s">
        <v>956</v>
      </c>
      <c r="B16" s="17" t="s">
        <v>635</v>
      </c>
      <c r="C16" s="17" t="s">
        <v>644</v>
      </c>
      <c r="D16" s="30" t="s">
        <v>132</v>
      </c>
      <c r="E16" s="31">
        <v>0</v>
      </c>
      <c r="F16" s="17" t="s">
        <v>51</v>
      </c>
      <c r="G16" s="31">
        <v>25000</v>
      </c>
      <c r="H16" s="17" t="s">
        <v>953</v>
      </c>
      <c r="I16" s="31">
        <v>0</v>
      </c>
      <c r="J16" s="17" t="s">
        <v>51</v>
      </c>
      <c r="K16" s="31">
        <v>0</v>
      </c>
      <c r="L16" s="17" t="s">
        <v>51</v>
      </c>
      <c r="M16" s="31">
        <v>0</v>
      </c>
      <c r="N16" s="17" t="s">
        <v>51</v>
      </c>
      <c r="O16" s="31">
        <f t="shared" si="0"/>
        <v>25000</v>
      </c>
      <c r="P16" s="31">
        <v>0</v>
      </c>
      <c r="Q16" s="31">
        <v>0</v>
      </c>
      <c r="R16" s="31">
        <v>0</v>
      </c>
      <c r="S16" s="31">
        <v>0</v>
      </c>
      <c r="T16" s="31">
        <v>0</v>
      </c>
      <c r="U16" s="31">
        <v>0</v>
      </c>
      <c r="V16" s="31">
        <v>0</v>
      </c>
      <c r="W16" s="17" t="s">
        <v>645</v>
      </c>
      <c r="X16" s="17" t="s">
        <v>51</v>
      </c>
      <c r="Y16" s="2" t="s">
        <v>51</v>
      </c>
      <c r="Z16" s="2" t="s">
        <v>51</v>
      </c>
      <c r="AA16" s="32"/>
      <c r="AB16" s="2" t="s">
        <v>51</v>
      </c>
    </row>
    <row r="17" spans="1:28" ht="30" customHeight="1" x14ac:dyDescent="0.3">
      <c r="A17" s="17" t="s">
        <v>957</v>
      </c>
      <c r="B17" s="17" t="s">
        <v>635</v>
      </c>
      <c r="C17" s="17" t="s">
        <v>652</v>
      </c>
      <c r="D17" s="30" t="s">
        <v>132</v>
      </c>
      <c r="E17" s="31">
        <v>0</v>
      </c>
      <c r="F17" s="17" t="s">
        <v>51</v>
      </c>
      <c r="G17" s="31">
        <v>0</v>
      </c>
      <c r="H17" s="17" t="s">
        <v>51</v>
      </c>
      <c r="I17" s="31">
        <v>0</v>
      </c>
      <c r="J17" s="17" t="s">
        <v>51</v>
      </c>
      <c r="K17" s="31">
        <v>0</v>
      </c>
      <c r="L17" s="17" t="s">
        <v>51</v>
      </c>
      <c r="M17" s="31">
        <v>1584</v>
      </c>
      <c r="N17" s="17" t="s">
        <v>958</v>
      </c>
      <c r="O17" s="31">
        <f t="shared" si="0"/>
        <v>1584</v>
      </c>
      <c r="P17" s="31">
        <v>0</v>
      </c>
      <c r="Q17" s="31">
        <v>0</v>
      </c>
      <c r="R17" s="31">
        <v>0</v>
      </c>
      <c r="S17" s="31">
        <v>0</v>
      </c>
      <c r="T17" s="31">
        <v>0</v>
      </c>
      <c r="U17" s="31">
        <v>0</v>
      </c>
      <c r="V17" s="31">
        <v>0</v>
      </c>
      <c r="W17" s="17" t="s">
        <v>653</v>
      </c>
      <c r="X17" s="17" t="s">
        <v>959</v>
      </c>
      <c r="Y17" s="2" t="s">
        <v>51</v>
      </c>
      <c r="Z17" s="2" t="s">
        <v>51</v>
      </c>
      <c r="AA17" s="32"/>
      <c r="AB17" s="2" t="s">
        <v>51</v>
      </c>
    </row>
    <row r="18" spans="1:28" ht="30" customHeight="1" x14ac:dyDescent="0.3">
      <c r="A18" s="17" t="s">
        <v>960</v>
      </c>
      <c r="B18" s="17" t="s">
        <v>635</v>
      </c>
      <c r="C18" s="17" t="s">
        <v>656</v>
      </c>
      <c r="D18" s="30" t="s">
        <v>132</v>
      </c>
      <c r="E18" s="31">
        <v>0</v>
      </c>
      <c r="F18" s="17" t="s">
        <v>51</v>
      </c>
      <c r="G18" s="31">
        <v>0</v>
      </c>
      <c r="H18" s="17" t="s">
        <v>51</v>
      </c>
      <c r="I18" s="31">
        <v>0</v>
      </c>
      <c r="J18" s="17" t="s">
        <v>51</v>
      </c>
      <c r="K18" s="31">
        <v>0</v>
      </c>
      <c r="L18" s="17" t="s">
        <v>51</v>
      </c>
      <c r="M18" s="31">
        <v>2376</v>
      </c>
      <c r="N18" s="17" t="s">
        <v>958</v>
      </c>
      <c r="O18" s="31">
        <f t="shared" si="0"/>
        <v>2376</v>
      </c>
      <c r="P18" s="31">
        <v>0</v>
      </c>
      <c r="Q18" s="31">
        <v>0</v>
      </c>
      <c r="R18" s="31">
        <v>0</v>
      </c>
      <c r="S18" s="31">
        <v>0</v>
      </c>
      <c r="T18" s="31">
        <v>0</v>
      </c>
      <c r="U18" s="31">
        <v>0</v>
      </c>
      <c r="V18" s="31">
        <v>0</v>
      </c>
      <c r="W18" s="17" t="s">
        <v>657</v>
      </c>
      <c r="X18" s="17" t="s">
        <v>959</v>
      </c>
      <c r="Y18" s="2" t="s">
        <v>51</v>
      </c>
      <c r="Z18" s="2" t="s">
        <v>51</v>
      </c>
      <c r="AA18" s="32"/>
      <c r="AB18" s="2" t="s">
        <v>51</v>
      </c>
    </row>
    <row r="19" spans="1:28" ht="30" customHeight="1" x14ac:dyDescent="0.3">
      <c r="A19" s="17" t="s">
        <v>961</v>
      </c>
      <c r="B19" s="17" t="s">
        <v>635</v>
      </c>
      <c r="C19" s="17" t="s">
        <v>648</v>
      </c>
      <c r="D19" s="30" t="s">
        <v>132</v>
      </c>
      <c r="E19" s="31">
        <v>0</v>
      </c>
      <c r="F19" s="17" t="s">
        <v>51</v>
      </c>
      <c r="G19" s="31">
        <v>0</v>
      </c>
      <c r="H19" s="17" t="s">
        <v>51</v>
      </c>
      <c r="I19" s="31">
        <v>0</v>
      </c>
      <c r="J19" s="17" t="s">
        <v>51</v>
      </c>
      <c r="K19" s="31">
        <v>0</v>
      </c>
      <c r="L19" s="17" t="s">
        <v>51</v>
      </c>
      <c r="M19" s="31">
        <v>6336</v>
      </c>
      <c r="N19" s="17" t="s">
        <v>958</v>
      </c>
      <c r="O19" s="31">
        <f t="shared" si="0"/>
        <v>6336</v>
      </c>
      <c r="P19" s="31">
        <v>0</v>
      </c>
      <c r="Q19" s="31">
        <v>0</v>
      </c>
      <c r="R19" s="31">
        <v>0</v>
      </c>
      <c r="S19" s="31">
        <v>0</v>
      </c>
      <c r="T19" s="31">
        <v>0</v>
      </c>
      <c r="U19" s="31">
        <v>0</v>
      </c>
      <c r="V19" s="31">
        <v>0</v>
      </c>
      <c r="W19" s="17" t="s">
        <v>649</v>
      </c>
      <c r="X19" s="17" t="s">
        <v>959</v>
      </c>
      <c r="Y19" s="2" t="s">
        <v>51</v>
      </c>
      <c r="Z19" s="2" t="s">
        <v>51</v>
      </c>
      <c r="AA19" s="32"/>
      <c r="AB19" s="2" t="s">
        <v>51</v>
      </c>
    </row>
    <row r="20" spans="1:28" ht="30" customHeight="1" x14ac:dyDescent="0.3">
      <c r="A20" s="17" t="s">
        <v>962</v>
      </c>
      <c r="B20" s="17" t="s">
        <v>635</v>
      </c>
      <c r="C20" s="17" t="s">
        <v>664</v>
      </c>
      <c r="D20" s="30" t="s">
        <v>132</v>
      </c>
      <c r="E20" s="31">
        <v>0</v>
      </c>
      <c r="F20" s="17" t="s">
        <v>51</v>
      </c>
      <c r="G20" s="31">
        <v>9500</v>
      </c>
      <c r="H20" s="17" t="s">
        <v>953</v>
      </c>
      <c r="I20" s="31">
        <v>0</v>
      </c>
      <c r="J20" s="17" t="s">
        <v>51</v>
      </c>
      <c r="K20" s="31">
        <v>0</v>
      </c>
      <c r="L20" s="17" t="s">
        <v>51</v>
      </c>
      <c r="M20" s="31">
        <v>0</v>
      </c>
      <c r="N20" s="17" t="s">
        <v>51</v>
      </c>
      <c r="O20" s="31">
        <f t="shared" si="0"/>
        <v>9500</v>
      </c>
      <c r="P20" s="31">
        <v>0</v>
      </c>
      <c r="Q20" s="31">
        <v>0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17" t="s">
        <v>665</v>
      </c>
      <c r="X20" s="17" t="s">
        <v>51</v>
      </c>
      <c r="Y20" s="2" t="s">
        <v>51</v>
      </c>
      <c r="Z20" s="2" t="s">
        <v>51</v>
      </c>
      <c r="AA20" s="32"/>
      <c r="AB20" s="2" t="s">
        <v>51</v>
      </c>
    </row>
    <row r="21" spans="1:28" ht="30" customHeight="1" x14ac:dyDescent="0.3">
      <c r="A21" s="17" t="s">
        <v>963</v>
      </c>
      <c r="B21" s="17" t="s">
        <v>635</v>
      </c>
      <c r="C21" s="17" t="s">
        <v>668</v>
      </c>
      <c r="D21" s="30" t="s">
        <v>132</v>
      </c>
      <c r="E21" s="31">
        <v>0</v>
      </c>
      <c r="F21" s="17" t="s">
        <v>51</v>
      </c>
      <c r="G21" s="31">
        <v>11000</v>
      </c>
      <c r="H21" s="17" t="s">
        <v>953</v>
      </c>
      <c r="I21" s="31">
        <v>0</v>
      </c>
      <c r="J21" s="17" t="s">
        <v>51</v>
      </c>
      <c r="K21" s="31">
        <v>0</v>
      </c>
      <c r="L21" s="17" t="s">
        <v>51</v>
      </c>
      <c r="M21" s="31">
        <v>0</v>
      </c>
      <c r="N21" s="17" t="s">
        <v>51</v>
      </c>
      <c r="O21" s="31">
        <f t="shared" si="0"/>
        <v>11000</v>
      </c>
      <c r="P21" s="31">
        <v>0</v>
      </c>
      <c r="Q21" s="31">
        <v>0</v>
      </c>
      <c r="R21" s="31">
        <v>0</v>
      </c>
      <c r="S21" s="31">
        <v>0</v>
      </c>
      <c r="T21" s="31">
        <v>0</v>
      </c>
      <c r="U21" s="31">
        <v>0</v>
      </c>
      <c r="V21" s="31">
        <v>0</v>
      </c>
      <c r="W21" s="17" t="s">
        <v>669</v>
      </c>
      <c r="X21" s="17" t="s">
        <v>51</v>
      </c>
      <c r="Y21" s="2" t="s">
        <v>51</v>
      </c>
      <c r="Z21" s="2" t="s">
        <v>51</v>
      </c>
      <c r="AA21" s="32"/>
      <c r="AB21" s="2" t="s">
        <v>51</v>
      </c>
    </row>
    <row r="22" spans="1:28" ht="30" customHeight="1" x14ac:dyDescent="0.3">
      <c r="A22" s="17" t="s">
        <v>964</v>
      </c>
      <c r="B22" s="17" t="s">
        <v>635</v>
      </c>
      <c r="C22" s="17" t="s">
        <v>672</v>
      </c>
      <c r="D22" s="30" t="s">
        <v>673</v>
      </c>
      <c r="E22" s="31">
        <v>0</v>
      </c>
      <c r="F22" s="17" t="s">
        <v>51</v>
      </c>
      <c r="G22" s="31">
        <v>0</v>
      </c>
      <c r="H22" s="17" t="s">
        <v>51</v>
      </c>
      <c r="I22" s="31">
        <v>0</v>
      </c>
      <c r="J22" s="17" t="s">
        <v>51</v>
      </c>
      <c r="K22" s="31">
        <v>0</v>
      </c>
      <c r="L22" s="17" t="s">
        <v>51</v>
      </c>
      <c r="M22" s="31">
        <v>19800</v>
      </c>
      <c r="N22" s="17" t="s">
        <v>958</v>
      </c>
      <c r="O22" s="31">
        <f t="shared" si="0"/>
        <v>19800</v>
      </c>
      <c r="P22" s="31">
        <v>0</v>
      </c>
      <c r="Q22" s="31">
        <v>0</v>
      </c>
      <c r="R22" s="31">
        <v>0</v>
      </c>
      <c r="S22" s="31">
        <v>0</v>
      </c>
      <c r="T22" s="31">
        <v>0</v>
      </c>
      <c r="U22" s="31">
        <v>0</v>
      </c>
      <c r="V22" s="31">
        <v>0</v>
      </c>
      <c r="W22" s="17" t="s">
        <v>674</v>
      </c>
      <c r="X22" s="17" t="s">
        <v>51</v>
      </c>
      <c r="Y22" s="2" t="s">
        <v>51</v>
      </c>
      <c r="Z22" s="2" t="s">
        <v>51</v>
      </c>
      <c r="AA22" s="32"/>
      <c r="AB22" s="2" t="s">
        <v>51</v>
      </c>
    </row>
    <row r="23" spans="1:28" ht="30" customHeight="1" x14ac:dyDescent="0.3">
      <c r="A23" s="17" t="s">
        <v>965</v>
      </c>
      <c r="B23" s="17" t="s">
        <v>835</v>
      </c>
      <c r="C23" s="17" t="s">
        <v>51</v>
      </c>
      <c r="D23" s="30" t="s">
        <v>132</v>
      </c>
      <c r="E23" s="31">
        <v>0</v>
      </c>
      <c r="F23" s="17" t="s">
        <v>51</v>
      </c>
      <c r="G23" s="31">
        <v>0</v>
      </c>
      <c r="H23" s="17" t="s">
        <v>51</v>
      </c>
      <c r="I23" s="31">
        <v>0</v>
      </c>
      <c r="J23" s="17" t="s">
        <v>51</v>
      </c>
      <c r="K23" s="31">
        <v>0</v>
      </c>
      <c r="L23" s="17" t="s">
        <v>51</v>
      </c>
      <c r="M23" s="31">
        <v>391476</v>
      </c>
      <c r="N23" s="17" t="s">
        <v>966</v>
      </c>
      <c r="O23" s="31">
        <f t="shared" si="0"/>
        <v>391476</v>
      </c>
      <c r="P23" s="31">
        <v>0</v>
      </c>
      <c r="Q23" s="31">
        <v>0</v>
      </c>
      <c r="R23" s="31">
        <v>0</v>
      </c>
      <c r="S23" s="31">
        <v>0</v>
      </c>
      <c r="T23" s="31">
        <v>0</v>
      </c>
      <c r="U23" s="31">
        <v>0</v>
      </c>
      <c r="V23" s="31">
        <v>0</v>
      </c>
      <c r="W23" s="17" t="s">
        <v>836</v>
      </c>
      <c r="X23" s="17" t="s">
        <v>51</v>
      </c>
      <c r="Y23" s="2" t="s">
        <v>51</v>
      </c>
      <c r="Z23" s="2" t="s">
        <v>51</v>
      </c>
      <c r="AA23" s="32"/>
      <c r="AB23" s="2" t="s">
        <v>51</v>
      </c>
    </row>
    <row r="24" spans="1:28" ht="30" customHeight="1" x14ac:dyDescent="0.3">
      <c r="A24" s="17" t="s">
        <v>967</v>
      </c>
      <c r="B24" s="17" t="s">
        <v>845</v>
      </c>
      <c r="C24" s="17" t="s">
        <v>51</v>
      </c>
      <c r="D24" s="30" t="s">
        <v>132</v>
      </c>
      <c r="E24" s="31">
        <v>0</v>
      </c>
      <c r="F24" s="17" t="s">
        <v>51</v>
      </c>
      <c r="G24" s="31">
        <v>0</v>
      </c>
      <c r="H24" s="17" t="s">
        <v>51</v>
      </c>
      <c r="I24" s="31">
        <v>0</v>
      </c>
      <c r="J24" s="17" t="s">
        <v>51</v>
      </c>
      <c r="K24" s="31">
        <v>0</v>
      </c>
      <c r="L24" s="17" t="s">
        <v>51</v>
      </c>
      <c r="M24" s="31">
        <v>50544</v>
      </c>
      <c r="N24" s="17" t="s">
        <v>968</v>
      </c>
      <c r="O24" s="31">
        <f t="shared" si="0"/>
        <v>50544</v>
      </c>
      <c r="P24" s="31">
        <v>0</v>
      </c>
      <c r="Q24" s="31">
        <v>0</v>
      </c>
      <c r="R24" s="31">
        <v>0</v>
      </c>
      <c r="S24" s="31">
        <v>0</v>
      </c>
      <c r="T24" s="31">
        <v>0</v>
      </c>
      <c r="U24" s="31">
        <v>0</v>
      </c>
      <c r="V24" s="31">
        <v>0</v>
      </c>
      <c r="W24" s="17" t="s">
        <v>846</v>
      </c>
      <c r="X24" s="17" t="s">
        <v>51</v>
      </c>
      <c r="Y24" s="2" t="s">
        <v>51</v>
      </c>
      <c r="Z24" s="2" t="s">
        <v>51</v>
      </c>
      <c r="AA24" s="32"/>
      <c r="AB24" s="2" t="s">
        <v>51</v>
      </c>
    </row>
    <row r="25" spans="1:28" ht="30" customHeight="1" x14ac:dyDescent="0.3">
      <c r="A25" s="17" t="s">
        <v>969</v>
      </c>
      <c r="B25" s="17" t="s">
        <v>200</v>
      </c>
      <c r="C25" s="17" t="s">
        <v>201</v>
      </c>
      <c r="D25" s="30" t="s">
        <v>132</v>
      </c>
      <c r="E25" s="31">
        <v>0</v>
      </c>
      <c r="F25" s="17" t="s">
        <v>51</v>
      </c>
      <c r="G25" s="31">
        <v>11500</v>
      </c>
      <c r="H25" s="17" t="s">
        <v>970</v>
      </c>
      <c r="I25" s="31">
        <v>11000</v>
      </c>
      <c r="J25" s="17" t="s">
        <v>971</v>
      </c>
      <c r="K25" s="31">
        <v>0</v>
      </c>
      <c r="L25" s="17" t="s">
        <v>51</v>
      </c>
      <c r="M25" s="31">
        <v>0</v>
      </c>
      <c r="N25" s="17" t="s">
        <v>51</v>
      </c>
      <c r="O25" s="31">
        <f t="shared" si="0"/>
        <v>11000</v>
      </c>
      <c r="P25" s="31">
        <v>0</v>
      </c>
      <c r="Q25" s="31">
        <v>0</v>
      </c>
      <c r="R25" s="31">
        <v>0</v>
      </c>
      <c r="S25" s="31">
        <v>0</v>
      </c>
      <c r="T25" s="31">
        <v>0</v>
      </c>
      <c r="U25" s="31">
        <v>0</v>
      </c>
      <c r="V25" s="31">
        <v>0</v>
      </c>
      <c r="W25" s="17" t="s">
        <v>202</v>
      </c>
      <c r="X25" s="17" t="s">
        <v>51</v>
      </c>
      <c r="Y25" s="2" t="s">
        <v>51</v>
      </c>
      <c r="Z25" s="2" t="s">
        <v>51</v>
      </c>
      <c r="AA25" s="32"/>
      <c r="AB25" s="2" t="s">
        <v>51</v>
      </c>
    </row>
    <row r="26" spans="1:28" ht="30" customHeight="1" x14ac:dyDescent="0.3">
      <c r="A26" s="17" t="s">
        <v>972</v>
      </c>
      <c r="B26" s="17" t="s">
        <v>897</v>
      </c>
      <c r="C26" s="17" t="s">
        <v>898</v>
      </c>
      <c r="D26" s="30" t="s">
        <v>132</v>
      </c>
      <c r="E26" s="31">
        <v>0</v>
      </c>
      <c r="F26" s="17" t="s">
        <v>51</v>
      </c>
      <c r="G26" s="31">
        <v>1470</v>
      </c>
      <c r="H26" s="17" t="s">
        <v>973</v>
      </c>
      <c r="I26" s="31">
        <v>1560</v>
      </c>
      <c r="J26" s="17" t="s">
        <v>974</v>
      </c>
      <c r="K26" s="31">
        <v>0</v>
      </c>
      <c r="L26" s="17" t="s">
        <v>51</v>
      </c>
      <c r="M26" s="31">
        <v>0</v>
      </c>
      <c r="N26" s="17" t="s">
        <v>51</v>
      </c>
      <c r="O26" s="31">
        <f t="shared" si="0"/>
        <v>1470</v>
      </c>
      <c r="P26" s="31">
        <v>0</v>
      </c>
      <c r="Q26" s="31">
        <v>0</v>
      </c>
      <c r="R26" s="31">
        <v>0</v>
      </c>
      <c r="S26" s="31">
        <v>0</v>
      </c>
      <c r="T26" s="31">
        <v>0</v>
      </c>
      <c r="U26" s="31">
        <v>0</v>
      </c>
      <c r="V26" s="31">
        <v>0</v>
      </c>
      <c r="W26" s="17" t="s">
        <v>899</v>
      </c>
      <c r="X26" s="17" t="s">
        <v>51</v>
      </c>
      <c r="Y26" s="2" t="s">
        <v>51</v>
      </c>
      <c r="Z26" s="2" t="s">
        <v>51</v>
      </c>
      <c r="AA26" s="32"/>
      <c r="AB26" s="2" t="s">
        <v>51</v>
      </c>
    </row>
    <row r="27" spans="1:28" ht="30" customHeight="1" x14ac:dyDescent="0.3">
      <c r="A27" s="17" t="s">
        <v>975</v>
      </c>
      <c r="B27" s="17" t="s">
        <v>892</v>
      </c>
      <c r="C27" s="17" t="s">
        <v>893</v>
      </c>
      <c r="D27" s="30" t="s">
        <v>132</v>
      </c>
      <c r="E27" s="31">
        <v>0</v>
      </c>
      <c r="F27" s="17" t="s">
        <v>51</v>
      </c>
      <c r="G27" s="31">
        <v>0</v>
      </c>
      <c r="H27" s="17" t="s">
        <v>51</v>
      </c>
      <c r="I27" s="31">
        <v>1873</v>
      </c>
      <c r="J27" s="17" t="s">
        <v>976</v>
      </c>
      <c r="K27" s="31">
        <v>0</v>
      </c>
      <c r="L27" s="17" t="s">
        <v>51</v>
      </c>
      <c r="M27" s="31">
        <v>1854</v>
      </c>
      <c r="N27" s="17" t="s">
        <v>977</v>
      </c>
      <c r="O27" s="31">
        <f t="shared" si="0"/>
        <v>1854</v>
      </c>
      <c r="P27" s="31">
        <v>0</v>
      </c>
      <c r="Q27" s="31">
        <v>0</v>
      </c>
      <c r="R27" s="31">
        <v>0</v>
      </c>
      <c r="S27" s="31">
        <v>0</v>
      </c>
      <c r="T27" s="31">
        <v>0</v>
      </c>
      <c r="U27" s="31">
        <v>0</v>
      </c>
      <c r="V27" s="31">
        <v>0</v>
      </c>
      <c r="W27" s="17" t="s">
        <v>894</v>
      </c>
      <c r="X27" s="17" t="s">
        <v>51</v>
      </c>
      <c r="Y27" s="2" t="s">
        <v>51</v>
      </c>
      <c r="Z27" s="2" t="s">
        <v>51</v>
      </c>
      <c r="AA27" s="32"/>
      <c r="AB27" s="2" t="s">
        <v>51</v>
      </c>
    </row>
    <row r="28" spans="1:28" ht="30" customHeight="1" x14ac:dyDescent="0.3">
      <c r="A28" s="17" t="s">
        <v>978</v>
      </c>
      <c r="B28" s="17" t="s">
        <v>205</v>
      </c>
      <c r="C28" s="17" t="s">
        <v>51</v>
      </c>
      <c r="D28" s="30" t="s">
        <v>132</v>
      </c>
      <c r="E28" s="31">
        <v>0</v>
      </c>
      <c r="F28" s="17" t="s">
        <v>51</v>
      </c>
      <c r="G28" s="31">
        <v>640</v>
      </c>
      <c r="H28" s="17" t="s">
        <v>979</v>
      </c>
      <c r="I28" s="31">
        <v>0</v>
      </c>
      <c r="J28" s="17" t="s">
        <v>51</v>
      </c>
      <c r="K28" s="31">
        <v>0</v>
      </c>
      <c r="L28" s="17" t="s">
        <v>51</v>
      </c>
      <c r="M28" s="31">
        <v>832</v>
      </c>
      <c r="N28" s="17" t="s">
        <v>958</v>
      </c>
      <c r="O28" s="31">
        <f t="shared" si="0"/>
        <v>640</v>
      </c>
      <c r="P28" s="31">
        <v>0</v>
      </c>
      <c r="Q28" s="31">
        <v>0</v>
      </c>
      <c r="R28" s="31">
        <v>0</v>
      </c>
      <c r="S28" s="31">
        <v>0</v>
      </c>
      <c r="T28" s="31">
        <v>0</v>
      </c>
      <c r="U28" s="31">
        <v>0</v>
      </c>
      <c r="V28" s="31">
        <v>0</v>
      </c>
      <c r="W28" s="17" t="s">
        <v>206</v>
      </c>
      <c r="X28" s="17" t="s">
        <v>51</v>
      </c>
      <c r="Y28" s="2" t="s">
        <v>51</v>
      </c>
      <c r="Z28" s="2" t="s">
        <v>51</v>
      </c>
      <c r="AA28" s="32"/>
      <c r="AB28" s="2" t="s">
        <v>51</v>
      </c>
    </row>
    <row r="29" spans="1:28" ht="30" customHeight="1" x14ac:dyDescent="0.3">
      <c r="A29" s="17" t="s">
        <v>980</v>
      </c>
      <c r="B29" s="17" t="s">
        <v>126</v>
      </c>
      <c r="C29" s="17" t="s">
        <v>905</v>
      </c>
      <c r="D29" s="30" t="s">
        <v>132</v>
      </c>
      <c r="E29" s="31">
        <v>323825</v>
      </c>
      <c r="F29" s="17" t="s">
        <v>51</v>
      </c>
      <c r="G29" s="31">
        <v>400000</v>
      </c>
      <c r="H29" s="17" t="s">
        <v>981</v>
      </c>
      <c r="I29" s="31">
        <v>400000</v>
      </c>
      <c r="J29" s="17" t="s">
        <v>982</v>
      </c>
      <c r="K29" s="31">
        <v>0</v>
      </c>
      <c r="L29" s="17" t="s">
        <v>51</v>
      </c>
      <c r="M29" s="31">
        <v>0</v>
      </c>
      <c r="N29" s="17" t="s">
        <v>51</v>
      </c>
      <c r="O29" s="31">
        <f t="shared" si="0"/>
        <v>323825</v>
      </c>
      <c r="P29" s="31">
        <v>0</v>
      </c>
      <c r="Q29" s="31">
        <v>0</v>
      </c>
      <c r="R29" s="31">
        <v>0</v>
      </c>
      <c r="S29" s="31">
        <v>0</v>
      </c>
      <c r="T29" s="31">
        <v>0</v>
      </c>
      <c r="U29" s="31">
        <v>0</v>
      </c>
      <c r="V29" s="31">
        <v>0</v>
      </c>
      <c r="W29" s="17" t="s">
        <v>906</v>
      </c>
      <c r="X29" s="17" t="s">
        <v>51</v>
      </c>
      <c r="Y29" s="2" t="s">
        <v>51</v>
      </c>
      <c r="Z29" s="2" t="s">
        <v>51</v>
      </c>
      <c r="AA29" s="32"/>
      <c r="AB29" s="2" t="s">
        <v>51</v>
      </c>
    </row>
    <row r="30" spans="1:28" ht="30" customHeight="1" x14ac:dyDescent="0.3">
      <c r="A30" s="17" t="s">
        <v>983</v>
      </c>
      <c r="B30" s="17" t="s">
        <v>912</v>
      </c>
      <c r="C30" s="17" t="s">
        <v>913</v>
      </c>
      <c r="D30" s="30" t="s">
        <v>132</v>
      </c>
      <c r="E30" s="31">
        <v>0</v>
      </c>
      <c r="F30" s="17" t="s">
        <v>51</v>
      </c>
      <c r="G30" s="31">
        <v>840</v>
      </c>
      <c r="H30" s="17" t="s">
        <v>984</v>
      </c>
      <c r="I30" s="31">
        <v>0</v>
      </c>
      <c r="J30" s="17" t="s">
        <v>51</v>
      </c>
      <c r="K30" s="31">
        <v>0</v>
      </c>
      <c r="L30" s="17" t="s">
        <v>51</v>
      </c>
      <c r="M30" s="31">
        <v>0</v>
      </c>
      <c r="N30" s="17" t="s">
        <v>51</v>
      </c>
      <c r="O30" s="31">
        <f t="shared" si="0"/>
        <v>840</v>
      </c>
      <c r="P30" s="31">
        <v>0</v>
      </c>
      <c r="Q30" s="31">
        <v>0</v>
      </c>
      <c r="R30" s="31">
        <v>0</v>
      </c>
      <c r="S30" s="31">
        <v>0</v>
      </c>
      <c r="T30" s="31">
        <v>0</v>
      </c>
      <c r="U30" s="31">
        <v>0</v>
      </c>
      <c r="V30" s="31">
        <v>0</v>
      </c>
      <c r="W30" s="17" t="s">
        <v>914</v>
      </c>
      <c r="X30" s="17" t="s">
        <v>51</v>
      </c>
      <c r="Y30" s="2" t="s">
        <v>51</v>
      </c>
      <c r="Z30" s="2" t="s">
        <v>51</v>
      </c>
      <c r="AA30" s="32"/>
      <c r="AB30" s="2" t="s">
        <v>51</v>
      </c>
    </row>
    <row r="31" spans="1:28" ht="30" customHeight="1" x14ac:dyDescent="0.3">
      <c r="A31" s="17" t="s">
        <v>985</v>
      </c>
      <c r="B31" s="17" t="s">
        <v>912</v>
      </c>
      <c r="C31" s="17" t="s">
        <v>917</v>
      </c>
      <c r="D31" s="30" t="s">
        <v>132</v>
      </c>
      <c r="E31" s="31">
        <v>0</v>
      </c>
      <c r="F31" s="17" t="s">
        <v>51</v>
      </c>
      <c r="G31" s="31">
        <v>240</v>
      </c>
      <c r="H31" s="17" t="s">
        <v>984</v>
      </c>
      <c r="I31" s="31">
        <v>0</v>
      </c>
      <c r="J31" s="17" t="s">
        <v>51</v>
      </c>
      <c r="K31" s="31">
        <v>0</v>
      </c>
      <c r="L31" s="17" t="s">
        <v>51</v>
      </c>
      <c r="M31" s="31">
        <v>0</v>
      </c>
      <c r="N31" s="17" t="s">
        <v>51</v>
      </c>
      <c r="O31" s="31">
        <f t="shared" si="0"/>
        <v>240</v>
      </c>
      <c r="P31" s="31">
        <v>0</v>
      </c>
      <c r="Q31" s="31">
        <v>0</v>
      </c>
      <c r="R31" s="31">
        <v>0</v>
      </c>
      <c r="S31" s="31">
        <v>0</v>
      </c>
      <c r="T31" s="31">
        <v>0</v>
      </c>
      <c r="U31" s="31">
        <v>0</v>
      </c>
      <c r="V31" s="31">
        <v>0</v>
      </c>
      <c r="W31" s="17" t="s">
        <v>918</v>
      </c>
      <c r="X31" s="17" t="s">
        <v>51</v>
      </c>
      <c r="Y31" s="2" t="s">
        <v>51</v>
      </c>
      <c r="Z31" s="2" t="s">
        <v>51</v>
      </c>
      <c r="AA31" s="32"/>
      <c r="AB31" s="2" t="s">
        <v>51</v>
      </c>
    </row>
    <row r="32" spans="1:28" ht="30" customHeight="1" x14ac:dyDescent="0.3">
      <c r="A32" s="17" t="s">
        <v>986</v>
      </c>
      <c r="B32" s="17" t="s">
        <v>773</v>
      </c>
      <c r="C32" s="17" t="s">
        <v>774</v>
      </c>
      <c r="D32" s="30" t="s">
        <v>132</v>
      </c>
      <c r="E32" s="31">
        <v>0</v>
      </c>
      <c r="F32" s="17" t="s">
        <v>51</v>
      </c>
      <c r="G32" s="31">
        <v>0</v>
      </c>
      <c r="H32" s="17" t="s">
        <v>51</v>
      </c>
      <c r="I32" s="31">
        <v>167</v>
      </c>
      <c r="J32" s="17" t="s">
        <v>987</v>
      </c>
      <c r="K32" s="31">
        <v>160</v>
      </c>
      <c r="L32" s="17" t="s">
        <v>988</v>
      </c>
      <c r="M32" s="31">
        <v>167</v>
      </c>
      <c r="N32" s="17" t="s">
        <v>989</v>
      </c>
      <c r="O32" s="31">
        <f t="shared" si="0"/>
        <v>160</v>
      </c>
      <c r="P32" s="31">
        <v>0</v>
      </c>
      <c r="Q32" s="31">
        <v>0</v>
      </c>
      <c r="R32" s="31">
        <v>0</v>
      </c>
      <c r="S32" s="31">
        <v>0</v>
      </c>
      <c r="T32" s="31">
        <v>0</v>
      </c>
      <c r="U32" s="31">
        <v>0</v>
      </c>
      <c r="V32" s="31">
        <v>0</v>
      </c>
      <c r="W32" s="17" t="s">
        <v>775</v>
      </c>
      <c r="X32" s="17" t="s">
        <v>51</v>
      </c>
      <c r="Y32" s="2" t="s">
        <v>51</v>
      </c>
      <c r="Z32" s="2" t="s">
        <v>51</v>
      </c>
      <c r="AA32" s="32"/>
      <c r="AB32" s="2" t="s">
        <v>51</v>
      </c>
    </row>
    <row r="33" spans="1:28" ht="30" customHeight="1" x14ac:dyDescent="0.3">
      <c r="A33" s="17" t="s">
        <v>990</v>
      </c>
      <c r="B33" s="17" t="s">
        <v>773</v>
      </c>
      <c r="C33" s="17" t="s">
        <v>779</v>
      </c>
      <c r="D33" s="30" t="s">
        <v>132</v>
      </c>
      <c r="E33" s="31">
        <v>0</v>
      </c>
      <c r="F33" s="17" t="s">
        <v>51</v>
      </c>
      <c r="G33" s="31">
        <v>0</v>
      </c>
      <c r="H33" s="17" t="s">
        <v>51</v>
      </c>
      <c r="I33" s="31">
        <v>181</v>
      </c>
      <c r="J33" s="17" t="s">
        <v>987</v>
      </c>
      <c r="K33" s="31">
        <v>180</v>
      </c>
      <c r="L33" s="17" t="s">
        <v>988</v>
      </c>
      <c r="M33" s="31">
        <v>181</v>
      </c>
      <c r="N33" s="17" t="s">
        <v>989</v>
      </c>
      <c r="O33" s="31">
        <f t="shared" si="0"/>
        <v>180</v>
      </c>
      <c r="P33" s="31">
        <v>0</v>
      </c>
      <c r="Q33" s="31">
        <v>0</v>
      </c>
      <c r="R33" s="31">
        <v>0</v>
      </c>
      <c r="S33" s="31">
        <v>0</v>
      </c>
      <c r="T33" s="31">
        <v>0</v>
      </c>
      <c r="U33" s="31">
        <v>0</v>
      </c>
      <c r="V33" s="31">
        <v>0</v>
      </c>
      <c r="W33" s="17" t="s">
        <v>780</v>
      </c>
      <c r="X33" s="17" t="s">
        <v>51</v>
      </c>
      <c r="Y33" s="2" t="s">
        <v>51</v>
      </c>
      <c r="Z33" s="2" t="s">
        <v>51</v>
      </c>
      <c r="AA33" s="32"/>
      <c r="AB33" s="2" t="s">
        <v>51</v>
      </c>
    </row>
    <row r="34" spans="1:28" ht="30" customHeight="1" x14ac:dyDescent="0.3">
      <c r="A34" s="17" t="s">
        <v>991</v>
      </c>
      <c r="B34" s="17" t="s">
        <v>773</v>
      </c>
      <c r="C34" s="17" t="s">
        <v>784</v>
      </c>
      <c r="D34" s="30" t="s">
        <v>132</v>
      </c>
      <c r="E34" s="31">
        <v>0</v>
      </c>
      <c r="F34" s="17" t="s">
        <v>51</v>
      </c>
      <c r="G34" s="31">
        <v>0</v>
      </c>
      <c r="H34" s="17" t="s">
        <v>51</v>
      </c>
      <c r="I34" s="31">
        <v>217</v>
      </c>
      <c r="J34" s="17" t="s">
        <v>987</v>
      </c>
      <c r="K34" s="31">
        <v>220</v>
      </c>
      <c r="L34" s="17" t="s">
        <v>988</v>
      </c>
      <c r="M34" s="31">
        <v>217</v>
      </c>
      <c r="N34" s="17" t="s">
        <v>989</v>
      </c>
      <c r="O34" s="31">
        <f t="shared" si="0"/>
        <v>217</v>
      </c>
      <c r="P34" s="31">
        <v>0</v>
      </c>
      <c r="Q34" s="31">
        <v>0</v>
      </c>
      <c r="R34" s="31">
        <v>0</v>
      </c>
      <c r="S34" s="31">
        <v>0</v>
      </c>
      <c r="T34" s="31">
        <v>0</v>
      </c>
      <c r="U34" s="31">
        <v>0</v>
      </c>
      <c r="V34" s="31">
        <v>0</v>
      </c>
      <c r="W34" s="17" t="s">
        <v>785</v>
      </c>
      <c r="X34" s="17" t="s">
        <v>51</v>
      </c>
      <c r="Y34" s="2" t="s">
        <v>51</v>
      </c>
      <c r="Z34" s="2" t="s">
        <v>51</v>
      </c>
      <c r="AA34" s="32"/>
      <c r="AB34" s="2" t="s">
        <v>51</v>
      </c>
    </row>
    <row r="35" spans="1:28" ht="30" customHeight="1" x14ac:dyDescent="0.3">
      <c r="A35" s="17" t="s">
        <v>1871</v>
      </c>
      <c r="B35" s="17" t="s">
        <v>767</v>
      </c>
      <c r="C35" s="17" t="s">
        <v>768</v>
      </c>
      <c r="D35" s="30" t="s">
        <v>769</v>
      </c>
      <c r="E35" s="31">
        <v>6176</v>
      </c>
      <c r="F35" s="17" t="s">
        <v>51</v>
      </c>
      <c r="G35" s="31">
        <v>0</v>
      </c>
      <c r="H35" s="17" t="s">
        <v>51</v>
      </c>
      <c r="I35" s="31">
        <f>22848/3</f>
        <v>7616</v>
      </c>
      <c r="J35" s="17" t="s">
        <v>987</v>
      </c>
      <c r="K35" s="31">
        <v>10930</v>
      </c>
      <c r="L35" s="93">
        <v>1114</v>
      </c>
      <c r="M35" s="31">
        <v>12630</v>
      </c>
      <c r="N35" s="17">
        <v>1211</v>
      </c>
      <c r="O35" s="31">
        <f>SMALL(E35:M35,COUNTIF(E29:M29,0)+1)</f>
        <v>6176</v>
      </c>
      <c r="P35" s="31">
        <v>0</v>
      </c>
      <c r="Q35" s="31">
        <v>0</v>
      </c>
      <c r="R35" s="31">
        <v>0</v>
      </c>
      <c r="S35" s="31">
        <v>0</v>
      </c>
      <c r="T35" s="31">
        <v>0</v>
      </c>
      <c r="U35" s="31">
        <v>0</v>
      </c>
      <c r="V35" s="31">
        <v>0</v>
      </c>
      <c r="W35" s="17" t="s">
        <v>770</v>
      </c>
      <c r="X35" s="17" t="s">
        <v>51</v>
      </c>
      <c r="Y35" s="2" t="s">
        <v>51</v>
      </c>
      <c r="Z35" s="2" t="s">
        <v>51</v>
      </c>
      <c r="AA35" s="32"/>
      <c r="AB35" s="2" t="s">
        <v>51</v>
      </c>
    </row>
    <row r="36" spans="1:28" ht="30" customHeight="1" x14ac:dyDescent="0.3">
      <c r="A36" s="17" t="s">
        <v>992</v>
      </c>
      <c r="B36" s="17" t="s">
        <v>727</v>
      </c>
      <c r="C36" s="17" t="s">
        <v>728</v>
      </c>
      <c r="D36" s="30" t="s">
        <v>74</v>
      </c>
      <c r="E36" s="31">
        <v>2380</v>
      </c>
      <c r="F36" s="17" t="s">
        <v>51</v>
      </c>
      <c r="G36" s="31">
        <v>2800</v>
      </c>
      <c r="H36" s="17" t="s">
        <v>993</v>
      </c>
      <c r="I36" s="31">
        <v>3408</v>
      </c>
      <c r="J36" s="17" t="s">
        <v>987</v>
      </c>
      <c r="K36" s="31">
        <v>0</v>
      </c>
      <c r="L36" s="17" t="s">
        <v>51</v>
      </c>
      <c r="M36" s="31">
        <v>0</v>
      </c>
      <c r="N36" s="17" t="s">
        <v>51</v>
      </c>
      <c r="O36" s="31">
        <f t="shared" si="0"/>
        <v>2380</v>
      </c>
      <c r="P36" s="31">
        <v>0</v>
      </c>
      <c r="Q36" s="31">
        <v>0</v>
      </c>
      <c r="R36" s="31">
        <v>0</v>
      </c>
      <c r="S36" s="31">
        <v>0</v>
      </c>
      <c r="T36" s="31">
        <v>0</v>
      </c>
      <c r="U36" s="31">
        <v>0</v>
      </c>
      <c r="V36" s="31">
        <v>0</v>
      </c>
      <c r="W36" s="17" t="s">
        <v>729</v>
      </c>
      <c r="X36" s="17" t="s">
        <v>51</v>
      </c>
      <c r="Y36" s="2" t="s">
        <v>51</v>
      </c>
      <c r="Z36" s="2" t="s">
        <v>51</v>
      </c>
      <c r="AA36" s="32"/>
      <c r="AB36" s="2" t="s">
        <v>51</v>
      </c>
    </row>
    <row r="37" spans="1:28" ht="30" customHeight="1" x14ac:dyDescent="0.3">
      <c r="A37" s="17" t="s">
        <v>994</v>
      </c>
      <c r="B37" s="17" t="s">
        <v>727</v>
      </c>
      <c r="C37" s="17" t="s">
        <v>745</v>
      </c>
      <c r="D37" s="30" t="s">
        <v>74</v>
      </c>
      <c r="E37" s="31">
        <v>3085</v>
      </c>
      <c r="F37" s="17" t="s">
        <v>51</v>
      </c>
      <c r="G37" s="31">
        <v>3630</v>
      </c>
      <c r="H37" s="17" t="s">
        <v>993</v>
      </c>
      <c r="I37" s="31">
        <v>4412</v>
      </c>
      <c r="J37" s="17" t="s">
        <v>987</v>
      </c>
      <c r="K37" s="31">
        <v>0</v>
      </c>
      <c r="L37" s="17" t="s">
        <v>51</v>
      </c>
      <c r="M37" s="31">
        <v>0</v>
      </c>
      <c r="N37" s="17" t="s">
        <v>51</v>
      </c>
      <c r="O37" s="31">
        <f t="shared" si="0"/>
        <v>3085</v>
      </c>
      <c r="P37" s="31">
        <v>0</v>
      </c>
      <c r="Q37" s="31">
        <v>0</v>
      </c>
      <c r="R37" s="31">
        <v>0</v>
      </c>
      <c r="S37" s="31">
        <v>0</v>
      </c>
      <c r="T37" s="31">
        <v>0</v>
      </c>
      <c r="U37" s="31">
        <v>0</v>
      </c>
      <c r="V37" s="31">
        <v>0</v>
      </c>
      <c r="W37" s="17" t="s">
        <v>746</v>
      </c>
      <c r="X37" s="17" t="s">
        <v>51</v>
      </c>
      <c r="Y37" s="2" t="s">
        <v>51</v>
      </c>
      <c r="Z37" s="2" t="s">
        <v>51</v>
      </c>
      <c r="AA37" s="32"/>
      <c r="AB37" s="2" t="s">
        <v>51</v>
      </c>
    </row>
    <row r="38" spans="1:28" ht="30" customHeight="1" x14ac:dyDescent="0.3">
      <c r="A38" s="17" t="s">
        <v>995</v>
      </c>
      <c r="B38" s="17" t="s">
        <v>727</v>
      </c>
      <c r="C38" s="17" t="s">
        <v>753</v>
      </c>
      <c r="D38" s="30" t="s">
        <v>74</v>
      </c>
      <c r="E38" s="31">
        <v>4012</v>
      </c>
      <c r="F38" s="17" t="s">
        <v>51</v>
      </c>
      <c r="G38" s="31">
        <v>4720</v>
      </c>
      <c r="H38" s="17" t="s">
        <v>993</v>
      </c>
      <c r="I38" s="31">
        <v>5766</v>
      </c>
      <c r="J38" s="17" t="s">
        <v>987</v>
      </c>
      <c r="K38" s="31">
        <v>0</v>
      </c>
      <c r="L38" s="17" t="s">
        <v>51</v>
      </c>
      <c r="M38" s="31">
        <v>0</v>
      </c>
      <c r="N38" s="17" t="s">
        <v>51</v>
      </c>
      <c r="O38" s="31">
        <f t="shared" si="0"/>
        <v>4012</v>
      </c>
      <c r="P38" s="31">
        <v>0</v>
      </c>
      <c r="Q38" s="31">
        <v>0</v>
      </c>
      <c r="R38" s="31">
        <v>0</v>
      </c>
      <c r="S38" s="31">
        <v>0</v>
      </c>
      <c r="T38" s="31">
        <v>0</v>
      </c>
      <c r="U38" s="31">
        <v>0</v>
      </c>
      <c r="V38" s="31">
        <v>0</v>
      </c>
      <c r="W38" s="17" t="s">
        <v>754</v>
      </c>
      <c r="X38" s="17" t="s">
        <v>51</v>
      </c>
      <c r="Y38" s="2" t="s">
        <v>51</v>
      </c>
      <c r="Z38" s="2" t="s">
        <v>51</v>
      </c>
      <c r="AA38" s="32"/>
      <c r="AB38" s="2" t="s">
        <v>51</v>
      </c>
    </row>
    <row r="39" spans="1:28" ht="30" customHeight="1" x14ac:dyDescent="0.3">
      <c r="A39" s="17" t="s">
        <v>996</v>
      </c>
      <c r="B39" s="17" t="s">
        <v>86</v>
      </c>
      <c r="C39" s="17" t="s">
        <v>761</v>
      </c>
      <c r="D39" s="30" t="s">
        <v>74</v>
      </c>
      <c r="E39" s="31">
        <v>0</v>
      </c>
      <c r="F39" s="17" t="s">
        <v>51</v>
      </c>
      <c r="G39" s="31">
        <v>1380</v>
      </c>
      <c r="H39" s="17" t="s">
        <v>997</v>
      </c>
      <c r="I39" s="31">
        <v>0</v>
      </c>
      <c r="J39" s="17" t="s">
        <v>51</v>
      </c>
      <c r="K39" s="31">
        <v>0</v>
      </c>
      <c r="L39" s="17" t="s">
        <v>51</v>
      </c>
      <c r="M39" s="31">
        <v>0</v>
      </c>
      <c r="N39" s="17" t="s">
        <v>51</v>
      </c>
      <c r="O39" s="31">
        <f t="shared" si="0"/>
        <v>1380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17" t="s">
        <v>762</v>
      </c>
      <c r="X39" s="17" t="s">
        <v>51</v>
      </c>
      <c r="Y39" s="2" t="s">
        <v>51</v>
      </c>
      <c r="Z39" s="2" t="s">
        <v>51</v>
      </c>
      <c r="AA39" s="32"/>
      <c r="AB39" s="2" t="s">
        <v>51</v>
      </c>
    </row>
    <row r="40" spans="1:28" ht="30" customHeight="1" x14ac:dyDescent="0.3">
      <c r="A40" s="17" t="s">
        <v>998</v>
      </c>
      <c r="B40" s="17" t="s">
        <v>209</v>
      </c>
      <c r="C40" s="17" t="s">
        <v>210</v>
      </c>
      <c r="D40" s="30" t="s">
        <v>211</v>
      </c>
      <c r="E40" s="31">
        <v>0</v>
      </c>
      <c r="F40" s="17" t="s">
        <v>51</v>
      </c>
      <c r="G40" s="31">
        <v>0</v>
      </c>
      <c r="H40" s="17" t="s">
        <v>51</v>
      </c>
      <c r="I40" s="31">
        <v>0</v>
      </c>
      <c r="J40" s="17" t="s">
        <v>51</v>
      </c>
      <c r="K40" s="31">
        <v>0</v>
      </c>
      <c r="L40" s="17" t="s">
        <v>51</v>
      </c>
      <c r="M40" s="31">
        <v>0</v>
      </c>
      <c r="N40" s="17" t="s">
        <v>51</v>
      </c>
      <c r="O40" s="31">
        <v>0</v>
      </c>
      <c r="P40" s="31">
        <v>0</v>
      </c>
      <c r="Q40" s="31">
        <v>195900</v>
      </c>
      <c r="R40" s="31">
        <v>0</v>
      </c>
      <c r="S40" s="31">
        <v>0</v>
      </c>
      <c r="T40" s="31">
        <v>0</v>
      </c>
      <c r="U40" s="31">
        <v>0</v>
      </c>
      <c r="V40" s="31">
        <f>SMALL(Q40:U40,COUNTIF(Q40:U40,0)+1)</f>
        <v>195900</v>
      </c>
      <c r="W40" s="17" t="s">
        <v>212</v>
      </c>
      <c r="X40" s="17" t="s">
        <v>51</v>
      </c>
      <c r="Y40" s="2" t="s">
        <v>999</v>
      </c>
      <c r="Z40" s="2" t="s">
        <v>51</v>
      </c>
      <c r="AA40" s="32"/>
      <c r="AB40" s="2" t="s">
        <v>51</v>
      </c>
    </row>
    <row r="41" spans="1:28" ht="30" customHeight="1" x14ac:dyDescent="0.3">
      <c r="A41" s="17" t="s">
        <v>1000</v>
      </c>
      <c r="B41" s="17" t="s">
        <v>862</v>
      </c>
      <c r="C41" s="17" t="s">
        <v>820</v>
      </c>
      <c r="D41" s="30" t="s">
        <v>132</v>
      </c>
      <c r="E41" s="31">
        <v>18620</v>
      </c>
      <c r="F41" s="17" t="s">
        <v>51</v>
      </c>
      <c r="G41" s="31">
        <v>25000</v>
      </c>
      <c r="H41" s="17" t="s">
        <v>1001</v>
      </c>
      <c r="I41" s="31">
        <v>30000</v>
      </c>
      <c r="J41" s="17" t="s">
        <v>1002</v>
      </c>
      <c r="K41" s="31">
        <v>0</v>
      </c>
      <c r="L41" s="17" t="s">
        <v>51</v>
      </c>
      <c r="M41" s="31">
        <v>0</v>
      </c>
      <c r="N41" s="17" t="s">
        <v>51</v>
      </c>
      <c r="O41" s="31">
        <f t="shared" ref="O41:O48" si="1">SMALL(E41:M41,COUNTIF(E41:M41,0)+1)</f>
        <v>18620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17" t="s">
        <v>863</v>
      </c>
      <c r="X41" s="17" t="s">
        <v>51</v>
      </c>
      <c r="Y41" s="2" t="s">
        <v>51</v>
      </c>
      <c r="Z41" s="2" t="s">
        <v>51</v>
      </c>
      <c r="AA41" s="32"/>
      <c r="AB41" s="2" t="s">
        <v>51</v>
      </c>
    </row>
    <row r="42" spans="1:28" ht="30" customHeight="1" x14ac:dyDescent="0.3">
      <c r="A42" s="17" t="s">
        <v>1003</v>
      </c>
      <c r="B42" s="17" t="s">
        <v>827</v>
      </c>
      <c r="C42" s="17" t="s">
        <v>828</v>
      </c>
      <c r="D42" s="30" t="s">
        <v>132</v>
      </c>
      <c r="E42" s="31">
        <v>4089</v>
      </c>
      <c r="F42" s="17" t="s">
        <v>51</v>
      </c>
      <c r="G42" s="31">
        <v>5000</v>
      </c>
      <c r="H42" s="17" t="s">
        <v>1004</v>
      </c>
      <c r="I42" s="31">
        <v>5000</v>
      </c>
      <c r="J42" s="17" t="s">
        <v>1005</v>
      </c>
      <c r="K42" s="31">
        <v>0</v>
      </c>
      <c r="L42" s="17" t="s">
        <v>51</v>
      </c>
      <c r="M42" s="31">
        <v>0</v>
      </c>
      <c r="N42" s="17" t="s">
        <v>51</v>
      </c>
      <c r="O42" s="31">
        <f t="shared" si="1"/>
        <v>4089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17" t="s">
        <v>829</v>
      </c>
      <c r="X42" s="17" t="s">
        <v>51</v>
      </c>
      <c r="Y42" s="2" t="s">
        <v>51</v>
      </c>
      <c r="Z42" s="2" t="s">
        <v>51</v>
      </c>
      <c r="AA42" s="32"/>
      <c r="AB42" s="2" t="s">
        <v>51</v>
      </c>
    </row>
    <row r="43" spans="1:28" ht="30" customHeight="1" x14ac:dyDescent="0.3">
      <c r="A43" s="17" t="s">
        <v>1006</v>
      </c>
      <c r="B43" s="17" t="s">
        <v>851</v>
      </c>
      <c r="C43" s="17" t="s">
        <v>852</v>
      </c>
      <c r="D43" s="30" t="s">
        <v>132</v>
      </c>
      <c r="E43" s="31">
        <v>12880</v>
      </c>
      <c r="F43" s="17" t="s">
        <v>51</v>
      </c>
      <c r="G43" s="31">
        <v>18000</v>
      </c>
      <c r="H43" s="17" t="s">
        <v>1001</v>
      </c>
      <c r="I43" s="31">
        <v>30000</v>
      </c>
      <c r="J43" s="17" t="s">
        <v>1002</v>
      </c>
      <c r="K43" s="31">
        <v>0</v>
      </c>
      <c r="L43" s="17" t="s">
        <v>51</v>
      </c>
      <c r="M43" s="31">
        <v>0</v>
      </c>
      <c r="N43" s="17" t="s">
        <v>51</v>
      </c>
      <c r="O43" s="31">
        <f t="shared" si="1"/>
        <v>12880</v>
      </c>
      <c r="P43" s="31">
        <v>0</v>
      </c>
      <c r="Q43" s="31">
        <v>0</v>
      </c>
      <c r="R43" s="31">
        <v>0</v>
      </c>
      <c r="S43" s="31">
        <v>0</v>
      </c>
      <c r="T43" s="31">
        <v>0</v>
      </c>
      <c r="U43" s="31">
        <v>0</v>
      </c>
      <c r="V43" s="31">
        <v>0</v>
      </c>
      <c r="W43" s="17" t="s">
        <v>853</v>
      </c>
      <c r="X43" s="17" t="s">
        <v>51</v>
      </c>
      <c r="Y43" s="2" t="s">
        <v>51</v>
      </c>
      <c r="Z43" s="2" t="s">
        <v>51</v>
      </c>
      <c r="AA43" s="32"/>
      <c r="AB43" s="2" t="s">
        <v>51</v>
      </c>
    </row>
    <row r="44" spans="1:28" ht="30" customHeight="1" x14ac:dyDescent="0.3">
      <c r="A44" s="17" t="s">
        <v>1007</v>
      </c>
      <c r="B44" s="17" t="s">
        <v>819</v>
      </c>
      <c r="C44" s="17" t="s">
        <v>820</v>
      </c>
      <c r="D44" s="30" t="s">
        <v>132</v>
      </c>
      <c r="E44" s="31">
        <v>4220</v>
      </c>
      <c r="F44" s="17" t="s">
        <v>51</v>
      </c>
      <c r="G44" s="31">
        <v>6000</v>
      </c>
      <c r="H44" s="17" t="s">
        <v>1004</v>
      </c>
      <c r="I44" s="31">
        <v>7500</v>
      </c>
      <c r="J44" s="17" t="s">
        <v>1002</v>
      </c>
      <c r="K44" s="31">
        <v>0</v>
      </c>
      <c r="L44" s="17" t="s">
        <v>51</v>
      </c>
      <c r="M44" s="31">
        <v>0</v>
      </c>
      <c r="N44" s="17" t="s">
        <v>51</v>
      </c>
      <c r="O44" s="31">
        <f t="shared" si="1"/>
        <v>4220</v>
      </c>
      <c r="P44" s="31">
        <v>0</v>
      </c>
      <c r="Q44" s="31">
        <v>0</v>
      </c>
      <c r="R44" s="31">
        <v>0</v>
      </c>
      <c r="S44" s="31">
        <v>0</v>
      </c>
      <c r="T44" s="31">
        <v>0</v>
      </c>
      <c r="U44" s="31">
        <v>0</v>
      </c>
      <c r="V44" s="31">
        <v>0</v>
      </c>
      <c r="W44" s="17" t="s">
        <v>821</v>
      </c>
      <c r="X44" s="17" t="s">
        <v>51</v>
      </c>
      <c r="Y44" s="2" t="s">
        <v>51</v>
      </c>
      <c r="Z44" s="2" t="s">
        <v>51</v>
      </c>
      <c r="AA44" s="32"/>
      <c r="AB44" s="2" t="s">
        <v>51</v>
      </c>
    </row>
    <row r="45" spans="1:28" ht="30" customHeight="1" x14ac:dyDescent="0.3">
      <c r="A45" s="17" t="s">
        <v>1008</v>
      </c>
      <c r="B45" s="17" t="s">
        <v>215</v>
      </c>
      <c r="C45" s="17" t="s">
        <v>51</v>
      </c>
      <c r="D45" s="30" t="s">
        <v>216</v>
      </c>
      <c r="E45" s="31">
        <v>0</v>
      </c>
      <c r="F45" s="17" t="s">
        <v>51</v>
      </c>
      <c r="G45" s="31">
        <v>0</v>
      </c>
      <c r="H45" s="17" t="s">
        <v>51</v>
      </c>
      <c r="I45" s="31">
        <v>0</v>
      </c>
      <c r="J45" s="17" t="s">
        <v>51</v>
      </c>
      <c r="K45" s="31">
        <v>0</v>
      </c>
      <c r="L45" s="17" t="s">
        <v>51</v>
      </c>
      <c r="M45" s="31">
        <v>781000</v>
      </c>
      <c r="N45" s="17" t="s">
        <v>958</v>
      </c>
      <c r="O45" s="31">
        <f t="shared" si="1"/>
        <v>781000</v>
      </c>
      <c r="P45" s="31">
        <v>0</v>
      </c>
      <c r="Q45" s="31">
        <v>0</v>
      </c>
      <c r="R45" s="31">
        <v>0</v>
      </c>
      <c r="S45" s="31">
        <v>0</v>
      </c>
      <c r="T45" s="31">
        <v>0</v>
      </c>
      <c r="U45" s="31">
        <v>0</v>
      </c>
      <c r="V45" s="31">
        <v>0</v>
      </c>
      <c r="W45" s="17" t="s">
        <v>217</v>
      </c>
      <c r="X45" s="17" t="s">
        <v>51</v>
      </c>
      <c r="Y45" s="2" t="s">
        <v>51</v>
      </c>
      <c r="Z45" s="2" t="s">
        <v>51</v>
      </c>
      <c r="AA45" s="32"/>
      <c r="AB45" s="2" t="s">
        <v>51</v>
      </c>
    </row>
    <row r="46" spans="1:28" ht="30" customHeight="1" x14ac:dyDescent="0.3">
      <c r="A46" s="17" t="s">
        <v>1009</v>
      </c>
      <c r="B46" s="17" t="s">
        <v>884</v>
      </c>
      <c r="C46" s="17" t="s">
        <v>885</v>
      </c>
      <c r="D46" s="30" t="s">
        <v>187</v>
      </c>
      <c r="E46" s="31">
        <v>0</v>
      </c>
      <c r="F46" s="17" t="s">
        <v>51</v>
      </c>
      <c r="G46" s="31">
        <v>2500000</v>
      </c>
      <c r="H46" s="17" t="s">
        <v>1001</v>
      </c>
      <c r="I46" s="31">
        <v>3000000</v>
      </c>
      <c r="J46" s="17" t="s">
        <v>1005</v>
      </c>
      <c r="K46" s="31">
        <v>1900000</v>
      </c>
      <c r="L46" s="17" t="s">
        <v>1010</v>
      </c>
      <c r="M46" s="31">
        <v>0</v>
      </c>
      <c r="N46" s="17" t="s">
        <v>51</v>
      </c>
      <c r="O46" s="31">
        <f t="shared" si="1"/>
        <v>1900000</v>
      </c>
      <c r="P46" s="31">
        <v>0</v>
      </c>
      <c r="Q46" s="31">
        <v>0</v>
      </c>
      <c r="R46" s="31">
        <v>0</v>
      </c>
      <c r="S46" s="31">
        <v>0</v>
      </c>
      <c r="T46" s="31">
        <v>0</v>
      </c>
      <c r="U46" s="31">
        <v>0</v>
      </c>
      <c r="V46" s="31">
        <v>0</v>
      </c>
      <c r="W46" s="17" t="s">
        <v>886</v>
      </c>
      <c r="X46" s="17" t="s">
        <v>51</v>
      </c>
      <c r="Y46" s="2" t="s">
        <v>51</v>
      </c>
      <c r="Z46" s="2" t="s">
        <v>51</v>
      </c>
      <c r="AA46" s="32"/>
      <c r="AB46" s="2" t="s">
        <v>51</v>
      </c>
    </row>
    <row r="47" spans="1:28" ht="30" customHeight="1" x14ac:dyDescent="0.3">
      <c r="A47" s="17" t="s">
        <v>1011</v>
      </c>
      <c r="B47" s="17" t="s">
        <v>869</v>
      </c>
      <c r="C47" s="17" t="s">
        <v>820</v>
      </c>
      <c r="D47" s="30" t="s">
        <v>132</v>
      </c>
      <c r="E47" s="31">
        <v>0</v>
      </c>
      <c r="F47" s="17" t="s">
        <v>51</v>
      </c>
      <c r="G47" s="31">
        <v>550000</v>
      </c>
      <c r="H47" s="17" t="s">
        <v>1012</v>
      </c>
      <c r="I47" s="31">
        <v>0</v>
      </c>
      <c r="J47" s="17" t="s">
        <v>51</v>
      </c>
      <c r="K47" s="31">
        <v>430000</v>
      </c>
      <c r="L47" s="17" t="s">
        <v>966</v>
      </c>
      <c r="M47" s="31">
        <v>550000</v>
      </c>
      <c r="N47" s="17" t="s">
        <v>1013</v>
      </c>
      <c r="O47" s="31">
        <f t="shared" si="1"/>
        <v>430000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17" t="s">
        <v>870</v>
      </c>
      <c r="X47" s="17" t="s">
        <v>51</v>
      </c>
      <c r="Y47" s="2" t="s">
        <v>51</v>
      </c>
      <c r="Z47" s="2" t="s">
        <v>51</v>
      </c>
      <c r="AA47" s="32"/>
      <c r="AB47" s="2" t="s">
        <v>51</v>
      </c>
    </row>
    <row r="48" spans="1:28" ht="30" customHeight="1" x14ac:dyDescent="0.3">
      <c r="A48" s="17" t="s">
        <v>1014</v>
      </c>
      <c r="B48" s="17" t="s">
        <v>874</v>
      </c>
      <c r="C48" s="17" t="s">
        <v>820</v>
      </c>
      <c r="D48" s="30" t="s">
        <v>132</v>
      </c>
      <c r="E48" s="31">
        <v>0</v>
      </c>
      <c r="F48" s="17" t="s">
        <v>51</v>
      </c>
      <c r="G48" s="31">
        <v>440000</v>
      </c>
      <c r="H48" s="17" t="s">
        <v>1012</v>
      </c>
      <c r="I48" s="31">
        <v>0</v>
      </c>
      <c r="J48" s="17" t="s">
        <v>51</v>
      </c>
      <c r="K48" s="31">
        <v>90000</v>
      </c>
      <c r="L48" s="17" t="s">
        <v>966</v>
      </c>
      <c r="M48" s="31">
        <v>440000</v>
      </c>
      <c r="N48" s="17" t="s">
        <v>1013</v>
      </c>
      <c r="O48" s="31">
        <f t="shared" si="1"/>
        <v>90000</v>
      </c>
      <c r="P48" s="31">
        <v>0</v>
      </c>
      <c r="Q48" s="31">
        <v>0</v>
      </c>
      <c r="R48" s="31">
        <v>0</v>
      </c>
      <c r="S48" s="31">
        <v>0</v>
      </c>
      <c r="T48" s="31">
        <v>0</v>
      </c>
      <c r="U48" s="31">
        <v>0</v>
      </c>
      <c r="V48" s="31">
        <v>0</v>
      </c>
      <c r="W48" s="17" t="s">
        <v>875</v>
      </c>
      <c r="X48" s="17" t="s">
        <v>51</v>
      </c>
      <c r="Y48" s="2" t="s">
        <v>51</v>
      </c>
      <c r="Z48" s="2" t="s">
        <v>51</v>
      </c>
      <c r="AA48" s="32"/>
      <c r="AB48" s="2" t="s">
        <v>51</v>
      </c>
    </row>
    <row r="49" spans="1:28" ht="30" customHeight="1" x14ac:dyDescent="0.3">
      <c r="A49" s="17" t="s">
        <v>1015</v>
      </c>
      <c r="B49" s="17" t="s">
        <v>629</v>
      </c>
      <c r="C49" s="17" t="s">
        <v>624</v>
      </c>
      <c r="D49" s="30" t="s">
        <v>625</v>
      </c>
      <c r="E49" s="31">
        <v>0</v>
      </c>
      <c r="F49" s="17" t="s">
        <v>51</v>
      </c>
      <c r="G49" s="31">
        <v>0</v>
      </c>
      <c r="H49" s="17" t="s">
        <v>51</v>
      </c>
      <c r="I49" s="31">
        <v>0</v>
      </c>
      <c r="J49" s="17" t="s">
        <v>51</v>
      </c>
      <c r="K49" s="31">
        <v>0</v>
      </c>
      <c r="L49" s="17" t="s">
        <v>51</v>
      </c>
      <c r="M49" s="31">
        <v>0</v>
      </c>
      <c r="N49" s="17" t="s">
        <v>51</v>
      </c>
      <c r="O49" s="31">
        <v>0</v>
      </c>
      <c r="P49" s="31">
        <v>172698</v>
      </c>
      <c r="Q49" s="31">
        <v>0</v>
      </c>
      <c r="R49" s="31">
        <v>0</v>
      </c>
      <c r="S49" s="31">
        <v>0</v>
      </c>
      <c r="T49" s="31">
        <v>0</v>
      </c>
      <c r="U49" s="31">
        <v>0</v>
      </c>
      <c r="V49" s="31">
        <v>0</v>
      </c>
      <c r="W49" s="17" t="s">
        <v>630</v>
      </c>
      <c r="X49" s="17" t="s">
        <v>51</v>
      </c>
      <c r="Y49" s="2" t="s">
        <v>1016</v>
      </c>
      <c r="Z49" s="2" t="s">
        <v>51</v>
      </c>
      <c r="AA49" s="32"/>
      <c r="AB49" s="2" t="s">
        <v>51</v>
      </c>
    </row>
    <row r="50" spans="1:28" ht="30" customHeight="1" x14ac:dyDescent="0.3">
      <c r="A50" s="17" t="s">
        <v>1017</v>
      </c>
      <c r="B50" s="17" t="s">
        <v>706</v>
      </c>
      <c r="C50" s="17" t="s">
        <v>624</v>
      </c>
      <c r="D50" s="30" t="s">
        <v>625</v>
      </c>
      <c r="E50" s="31">
        <v>0</v>
      </c>
      <c r="F50" s="17" t="s">
        <v>51</v>
      </c>
      <c r="G50" s="31">
        <v>0</v>
      </c>
      <c r="H50" s="17" t="s">
        <v>51</v>
      </c>
      <c r="I50" s="31">
        <v>0</v>
      </c>
      <c r="J50" s="17" t="s">
        <v>51</v>
      </c>
      <c r="K50" s="31">
        <v>0</v>
      </c>
      <c r="L50" s="17" t="s">
        <v>51</v>
      </c>
      <c r="M50" s="31">
        <v>0</v>
      </c>
      <c r="N50" s="17" t="s">
        <v>51</v>
      </c>
      <c r="O50" s="31">
        <v>0</v>
      </c>
      <c r="P50" s="31">
        <v>228717</v>
      </c>
      <c r="Q50" s="31">
        <v>0</v>
      </c>
      <c r="R50" s="31">
        <v>0</v>
      </c>
      <c r="S50" s="31">
        <v>0</v>
      </c>
      <c r="T50" s="31">
        <v>0</v>
      </c>
      <c r="U50" s="31">
        <v>0</v>
      </c>
      <c r="V50" s="31">
        <v>0</v>
      </c>
      <c r="W50" s="17" t="s">
        <v>707</v>
      </c>
      <c r="X50" s="17" t="s">
        <v>51</v>
      </c>
      <c r="Y50" s="2" t="s">
        <v>1016</v>
      </c>
      <c r="Z50" s="2" t="s">
        <v>51</v>
      </c>
      <c r="AA50" s="32"/>
      <c r="AB50" s="2" t="s">
        <v>51</v>
      </c>
    </row>
    <row r="51" spans="1:28" ht="30" customHeight="1" x14ac:dyDescent="0.3">
      <c r="A51" s="17" t="s">
        <v>1018</v>
      </c>
      <c r="B51" s="17" t="s">
        <v>623</v>
      </c>
      <c r="C51" s="17" t="s">
        <v>624</v>
      </c>
      <c r="D51" s="30" t="s">
        <v>625</v>
      </c>
      <c r="E51" s="31">
        <v>0</v>
      </c>
      <c r="F51" s="17" t="s">
        <v>51</v>
      </c>
      <c r="G51" s="31">
        <v>0</v>
      </c>
      <c r="H51" s="17" t="s">
        <v>51</v>
      </c>
      <c r="I51" s="31">
        <v>0</v>
      </c>
      <c r="J51" s="17" t="s">
        <v>51</v>
      </c>
      <c r="K51" s="31">
        <v>0</v>
      </c>
      <c r="L51" s="17" t="s">
        <v>51</v>
      </c>
      <c r="M51" s="31">
        <v>0</v>
      </c>
      <c r="N51" s="17" t="s">
        <v>51</v>
      </c>
      <c r="O51" s="31">
        <v>0</v>
      </c>
      <c r="P51" s="31">
        <v>281939</v>
      </c>
      <c r="Q51" s="31">
        <v>0</v>
      </c>
      <c r="R51" s="31">
        <v>0</v>
      </c>
      <c r="S51" s="31">
        <v>0</v>
      </c>
      <c r="T51" s="31">
        <v>0</v>
      </c>
      <c r="U51" s="31">
        <v>0</v>
      </c>
      <c r="V51" s="31">
        <v>0</v>
      </c>
      <c r="W51" s="17" t="s">
        <v>626</v>
      </c>
      <c r="X51" s="17" t="s">
        <v>51</v>
      </c>
      <c r="Y51" s="2" t="s">
        <v>1016</v>
      </c>
      <c r="Z51" s="2" t="s">
        <v>51</v>
      </c>
      <c r="AA51" s="32"/>
      <c r="AB51" s="2" t="s">
        <v>51</v>
      </c>
    </row>
    <row r="52" spans="1:28" ht="30" customHeight="1" x14ac:dyDescent="0.3">
      <c r="A52" s="17" t="s">
        <v>1019</v>
      </c>
      <c r="B52" s="17" t="s">
        <v>697</v>
      </c>
      <c r="C52" s="17" t="s">
        <v>624</v>
      </c>
      <c r="D52" s="30" t="s">
        <v>625</v>
      </c>
      <c r="E52" s="31">
        <v>0</v>
      </c>
      <c r="F52" s="17" t="s">
        <v>51</v>
      </c>
      <c r="G52" s="31">
        <v>0</v>
      </c>
      <c r="H52" s="17" t="s">
        <v>51</v>
      </c>
      <c r="I52" s="31">
        <v>0</v>
      </c>
      <c r="J52" s="17" t="s">
        <v>51</v>
      </c>
      <c r="K52" s="31">
        <v>0</v>
      </c>
      <c r="L52" s="17" t="s">
        <v>51</v>
      </c>
      <c r="M52" s="31">
        <v>0</v>
      </c>
      <c r="N52" s="17" t="s">
        <v>51</v>
      </c>
      <c r="O52" s="31">
        <v>0</v>
      </c>
      <c r="P52" s="31">
        <v>243870</v>
      </c>
      <c r="Q52" s="31">
        <v>0</v>
      </c>
      <c r="R52" s="31">
        <v>0</v>
      </c>
      <c r="S52" s="31">
        <v>0</v>
      </c>
      <c r="T52" s="31">
        <v>0</v>
      </c>
      <c r="U52" s="31">
        <v>0</v>
      </c>
      <c r="V52" s="31">
        <v>0</v>
      </c>
      <c r="W52" s="17" t="s">
        <v>698</v>
      </c>
      <c r="X52" s="17" t="s">
        <v>51</v>
      </c>
      <c r="Y52" s="2" t="s">
        <v>1016</v>
      </c>
      <c r="Z52" s="2" t="s">
        <v>51</v>
      </c>
      <c r="AA52" s="32"/>
      <c r="AB52" s="2" t="s">
        <v>51</v>
      </c>
    </row>
    <row r="53" spans="1:28" ht="30" customHeight="1" x14ac:dyDescent="0.3">
      <c r="A53" s="17" t="s">
        <v>1875</v>
      </c>
      <c r="B53" s="17" t="s">
        <v>1876</v>
      </c>
      <c r="C53" s="17" t="s">
        <v>624</v>
      </c>
      <c r="D53" s="30" t="s">
        <v>625</v>
      </c>
      <c r="E53" s="31">
        <v>0</v>
      </c>
      <c r="F53" s="17" t="s">
        <v>51</v>
      </c>
      <c r="G53" s="31">
        <v>0</v>
      </c>
      <c r="H53" s="17" t="s">
        <v>51</v>
      </c>
      <c r="I53" s="31">
        <v>0</v>
      </c>
      <c r="J53" s="17" t="s">
        <v>51</v>
      </c>
      <c r="K53" s="31">
        <v>0</v>
      </c>
      <c r="L53" s="17" t="s">
        <v>51</v>
      </c>
      <c r="M53" s="31">
        <v>0</v>
      </c>
      <c r="N53" s="17" t="s">
        <v>51</v>
      </c>
      <c r="O53" s="31">
        <v>0</v>
      </c>
      <c r="P53" s="31">
        <v>220901</v>
      </c>
      <c r="Q53" s="31">
        <v>0</v>
      </c>
      <c r="R53" s="31">
        <v>0</v>
      </c>
      <c r="S53" s="31">
        <v>0</v>
      </c>
      <c r="T53" s="31">
        <v>0</v>
      </c>
      <c r="U53" s="31">
        <v>0</v>
      </c>
      <c r="V53" s="31">
        <v>0</v>
      </c>
      <c r="W53" s="17" t="s">
        <v>703</v>
      </c>
      <c r="X53" s="17" t="s">
        <v>51</v>
      </c>
      <c r="Y53" s="2" t="s">
        <v>1016</v>
      </c>
      <c r="Z53" s="2" t="s">
        <v>51</v>
      </c>
      <c r="AA53" s="32"/>
      <c r="AB53" s="2" t="s">
        <v>51</v>
      </c>
    </row>
    <row r="54" spans="1:28" ht="30" customHeight="1" x14ac:dyDescent="0.3">
      <c r="A54" s="17" t="s">
        <v>1020</v>
      </c>
      <c r="B54" s="17" t="s">
        <v>702</v>
      </c>
      <c r="C54" s="17" t="s">
        <v>624</v>
      </c>
      <c r="D54" s="30" t="s">
        <v>625</v>
      </c>
      <c r="E54" s="31">
        <v>0</v>
      </c>
      <c r="F54" s="17" t="s">
        <v>51</v>
      </c>
      <c r="G54" s="31">
        <v>0</v>
      </c>
      <c r="H54" s="17" t="s">
        <v>51</v>
      </c>
      <c r="I54" s="31">
        <v>0</v>
      </c>
      <c r="J54" s="17" t="s">
        <v>51</v>
      </c>
      <c r="K54" s="31">
        <v>0</v>
      </c>
      <c r="L54" s="17" t="s">
        <v>51</v>
      </c>
      <c r="M54" s="31">
        <v>0</v>
      </c>
      <c r="N54" s="17" t="s">
        <v>51</v>
      </c>
      <c r="O54" s="31">
        <v>0</v>
      </c>
      <c r="P54" s="31">
        <v>286330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  <c r="W54" s="17" t="s">
        <v>721</v>
      </c>
      <c r="X54" s="17" t="s">
        <v>51</v>
      </c>
      <c r="Y54" s="2" t="s">
        <v>1016</v>
      </c>
      <c r="Z54" s="2" t="s">
        <v>51</v>
      </c>
      <c r="AA54" s="32"/>
      <c r="AB54" s="2" t="s">
        <v>51</v>
      </c>
    </row>
    <row r="55" spans="1:28" ht="30" customHeight="1" x14ac:dyDescent="0.3">
      <c r="A55" s="17" t="s">
        <v>1021</v>
      </c>
      <c r="B55" s="17" t="s">
        <v>720</v>
      </c>
      <c r="C55" s="17" t="s">
        <v>624</v>
      </c>
      <c r="D55" s="30" t="s">
        <v>625</v>
      </c>
      <c r="E55" s="31">
        <v>0</v>
      </c>
      <c r="F55" s="17" t="s">
        <v>51</v>
      </c>
      <c r="G55" s="31">
        <v>0</v>
      </c>
      <c r="H55" s="17" t="s">
        <v>51</v>
      </c>
      <c r="I55" s="31">
        <v>0</v>
      </c>
      <c r="J55" s="17" t="s">
        <v>51</v>
      </c>
      <c r="K55" s="31">
        <v>0</v>
      </c>
      <c r="L55" s="17" t="s">
        <v>51</v>
      </c>
      <c r="M55" s="31">
        <v>0</v>
      </c>
      <c r="N55" s="17" t="s">
        <v>51</v>
      </c>
      <c r="O55" s="31">
        <v>0</v>
      </c>
      <c r="P55" s="31">
        <v>223246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17" t="s">
        <v>713</v>
      </c>
      <c r="X55" s="17" t="s">
        <v>51</v>
      </c>
      <c r="Y55" s="2" t="s">
        <v>1016</v>
      </c>
      <c r="Z55" s="2" t="s">
        <v>51</v>
      </c>
      <c r="AA55" s="32"/>
      <c r="AB55" s="2" t="s">
        <v>51</v>
      </c>
    </row>
    <row r="56" spans="1:28" ht="30" customHeight="1" x14ac:dyDescent="0.3">
      <c r="A56" s="17" t="s">
        <v>1022</v>
      </c>
      <c r="B56" s="17" t="s">
        <v>712</v>
      </c>
      <c r="C56" s="17" t="s">
        <v>624</v>
      </c>
      <c r="D56" s="30" t="s">
        <v>625</v>
      </c>
      <c r="E56" s="31">
        <v>0</v>
      </c>
      <c r="F56" s="17" t="s">
        <v>51</v>
      </c>
      <c r="G56" s="31">
        <v>0</v>
      </c>
      <c r="H56" s="17" t="s">
        <v>51</v>
      </c>
      <c r="I56" s="31">
        <v>0</v>
      </c>
      <c r="J56" s="17" t="s">
        <v>51</v>
      </c>
      <c r="K56" s="31">
        <v>0</v>
      </c>
      <c r="L56" s="17" t="s">
        <v>51</v>
      </c>
      <c r="M56" s="31">
        <v>0</v>
      </c>
      <c r="N56" s="17" t="s">
        <v>51</v>
      </c>
      <c r="O56" s="31">
        <v>0</v>
      </c>
      <c r="P56" s="31">
        <v>282990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17" t="s">
        <v>841</v>
      </c>
      <c r="X56" s="17" t="s">
        <v>51</v>
      </c>
      <c r="Y56" s="2" t="s">
        <v>1016</v>
      </c>
      <c r="Z56" s="2" t="s">
        <v>51</v>
      </c>
      <c r="AA56" s="32"/>
      <c r="AB56" s="2" t="s">
        <v>51</v>
      </c>
    </row>
    <row r="57" spans="1:28" ht="30" customHeight="1" x14ac:dyDescent="0.3">
      <c r="A57" s="17" t="s">
        <v>1877</v>
      </c>
      <c r="B57" s="17" t="s">
        <v>1878</v>
      </c>
      <c r="C57" s="17" t="s">
        <v>624</v>
      </c>
      <c r="D57" s="30" t="s">
        <v>625</v>
      </c>
      <c r="E57" s="31">
        <v>0</v>
      </c>
      <c r="F57" s="17" t="s">
        <v>51</v>
      </c>
      <c r="G57" s="31">
        <v>0</v>
      </c>
      <c r="H57" s="17" t="s">
        <v>51</v>
      </c>
      <c r="I57" s="31">
        <v>0</v>
      </c>
      <c r="J57" s="17" t="s">
        <v>51</v>
      </c>
      <c r="K57" s="31">
        <v>0</v>
      </c>
      <c r="L57" s="17" t="s">
        <v>51</v>
      </c>
      <c r="M57" s="31">
        <v>0</v>
      </c>
      <c r="N57" s="17" t="s">
        <v>51</v>
      </c>
      <c r="O57" s="31">
        <v>0</v>
      </c>
      <c r="P57" s="31">
        <v>268225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17" t="s">
        <v>741</v>
      </c>
      <c r="X57" s="17" t="s">
        <v>51</v>
      </c>
      <c r="Y57" s="2" t="s">
        <v>1016</v>
      </c>
      <c r="Z57" s="2" t="s">
        <v>51</v>
      </c>
      <c r="AA57" s="32"/>
      <c r="AB57" s="2" t="s">
        <v>51</v>
      </c>
    </row>
    <row r="58" spans="1:28" ht="30" customHeight="1" x14ac:dyDescent="0.3">
      <c r="A58" s="17" t="s">
        <v>1023</v>
      </c>
      <c r="B58" s="17" t="s">
        <v>840</v>
      </c>
      <c r="C58" s="17" t="s">
        <v>624</v>
      </c>
      <c r="D58" s="30" t="s">
        <v>625</v>
      </c>
      <c r="E58" s="31">
        <v>0</v>
      </c>
      <c r="F58" s="17" t="s">
        <v>51</v>
      </c>
      <c r="G58" s="31">
        <v>0</v>
      </c>
      <c r="H58" s="17" t="s">
        <v>51</v>
      </c>
      <c r="I58" s="31">
        <v>0</v>
      </c>
      <c r="J58" s="17" t="s">
        <v>51</v>
      </c>
      <c r="K58" s="31">
        <v>0</v>
      </c>
      <c r="L58" s="17" t="s">
        <v>51</v>
      </c>
      <c r="M58" s="31">
        <v>0</v>
      </c>
      <c r="N58" s="17" t="s">
        <v>51</v>
      </c>
      <c r="O58" s="31">
        <v>0</v>
      </c>
      <c r="P58" s="31">
        <v>249073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17" t="s">
        <v>814</v>
      </c>
      <c r="X58" s="17" t="s">
        <v>51</v>
      </c>
      <c r="Y58" s="2" t="s">
        <v>1016</v>
      </c>
      <c r="Z58" s="2" t="s">
        <v>51</v>
      </c>
      <c r="AA58" s="32"/>
      <c r="AB58" s="2" t="s">
        <v>51</v>
      </c>
    </row>
    <row r="59" spans="1:28" ht="30" customHeight="1" x14ac:dyDescent="0.3">
      <c r="A59" s="17" t="s">
        <v>1024</v>
      </c>
      <c r="B59" s="17" t="s">
        <v>740</v>
      </c>
      <c r="C59" s="17" t="s">
        <v>624</v>
      </c>
      <c r="D59" s="30" t="s">
        <v>625</v>
      </c>
      <c r="E59" s="31">
        <v>0</v>
      </c>
      <c r="F59" s="17" t="s">
        <v>51</v>
      </c>
      <c r="G59" s="31">
        <v>0</v>
      </c>
      <c r="H59" s="17" t="s">
        <v>51</v>
      </c>
      <c r="I59" s="31">
        <v>0</v>
      </c>
      <c r="J59" s="17" t="s">
        <v>51</v>
      </c>
      <c r="K59" s="31">
        <v>0</v>
      </c>
      <c r="L59" s="17" t="s">
        <v>51</v>
      </c>
      <c r="M59" s="31">
        <v>0</v>
      </c>
      <c r="N59" s="17" t="s">
        <v>51</v>
      </c>
      <c r="O59" s="31">
        <v>0</v>
      </c>
      <c r="P59" s="31">
        <v>276108</v>
      </c>
      <c r="Q59" s="31">
        <v>0</v>
      </c>
      <c r="R59" s="31">
        <v>0</v>
      </c>
      <c r="S59" s="31">
        <v>0</v>
      </c>
      <c r="T59" s="31">
        <v>0</v>
      </c>
      <c r="U59" s="31">
        <v>0</v>
      </c>
      <c r="V59" s="31">
        <v>0</v>
      </c>
      <c r="W59" s="17" t="s">
        <v>1889</v>
      </c>
      <c r="X59" s="17" t="s">
        <v>51</v>
      </c>
      <c r="Y59" s="2" t="s">
        <v>1016</v>
      </c>
      <c r="Z59" s="2" t="s">
        <v>51</v>
      </c>
      <c r="AA59" s="32"/>
      <c r="AB59" s="2" t="s">
        <v>51</v>
      </c>
    </row>
    <row r="60" spans="1:28" ht="30" customHeight="1" x14ac:dyDescent="0.3">
      <c r="A60" s="17" t="s">
        <v>1025</v>
      </c>
      <c r="B60" s="17" t="s">
        <v>813</v>
      </c>
      <c r="C60" s="17" t="s">
        <v>624</v>
      </c>
      <c r="D60" s="30" t="s">
        <v>625</v>
      </c>
      <c r="E60" s="31">
        <v>0</v>
      </c>
      <c r="F60" s="17" t="s">
        <v>51</v>
      </c>
      <c r="G60" s="31">
        <v>0</v>
      </c>
      <c r="H60" s="17" t="s">
        <v>51</v>
      </c>
      <c r="I60" s="31">
        <v>0</v>
      </c>
      <c r="J60" s="17" t="s">
        <v>51</v>
      </c>
      <c r="K60" s="31">
        <v>0</v>
      </c>
      <c r="L60" s="17" t="s">
        <v>51</v>
      </c>
      <c r="M60" s="31">
        <v>0</v>
      </c>
      <c r="N60" s="17" t="s">
        <v>51</v>
      </c>
      <c r="O60" s="31">
        <v>0</v>
      </c>
      <c r="P60" s="31">
        <v>306274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17" t="s">
        <v>1890</v>
      </c>
      <c r="X60" s="17" t="s">
        <v>51</v>
      </c>
      <c r="Y60" s="2" t="s">
        <v>1016</v>
      </c>
      <c r="Z60" s="2" t="s">
        <v>51</v>
      </c>
      <c r="AA60" s="32"/>
      <c r="AB60" s="2" t="s">
        <v>51</v>
      </c>
    </row>
    <row r="61" spans="1:28" ht="30" customHeight="1" x14ac:dyDescent="0.3">
      <c r="A61" s="17" t="s">
        <v>1026</v>
      </c>
      <c r="B61" s="17" t="s">
        <v>224</v>
      </c>
      <c r="C61" s="17" t="s">
        <v>225</v>
      </c>
      <c r="D61" s="30" t="s">
        <v>226</v>
      </c>
      <c r="E61" s="31">
        <v>0</v>
      </c>
      <c r="F61" s="17" t="s">
        <v>51</v>
      </c>
      <c r="G61" s="31">
        <v>0</v>
      </c>
      <c r="H61" s="17" t="s">
        <v>51</v>
      </c>
      <c r="I61" s="31">
        <v>0</v>
      </c>
      <c r="J61" s="17" t="s">
        <v>51</v>
      </c>
      <c r="K61" s="31">
        <v>0</v>
      </c>
      <c r="L61" s="17" t="s">
        <v>51</v>
      </c>
      <c r="M61" s="31">
        <v>9600000</v>
      </c>
      <c r="N61" s="17" t="s">
        <v>1027</v>
      </c>
      <c r="O61" s="31">
        <f t="shared" ref="O61:O104" si="2">SMALL(E61:M61,COUNTIF(E61:M61,0)+1)</f>
        <v>9600000</v>
      </c>
      <c r="P61" s="31">
        <v>308851</v>
      </c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17" t="s">
        <v>227</v>
      </c>
      <c r="X61" s="17" t="s">
        <v>51</v>
      </c>
      <c r="Y61" s="2" t="s">
        <v>51</v>
      </c>
      <c r="Z61" s="2" t="s">
        <v>51</v>
      </c>
      <c r="AA61" s="32"/>
      <c r="AB61" s="2" t="s">
        <v>51</v>
      </c>
    </row>
    <row r="62" spans="1:28" ht="30" customHeight="1" x14ac:dyDescent="0.3">
      <c r="A62" s="17" t="s">
        <v>1028</v>
      </c>
      <c r="B62" s="17" t="s">
        <v>224</v>
      </c>
      <c r="C62" s="17" t="s">
        <v>230</v>
      </c>
      <c r="D62" s="30" t="s">
        <v>226</v>
      </c>
      <c r="E62" s="31">
        <v>0</v>
      </c>
      <c r="F62" s="17" t="s">
        <v>51</v>
      </c>
      <c r="G62" s="31">
        <v>0</v>
      </c>
      <c r="H62" s="17" t="s">
        <v>51</v>
      </c>
      <c r="I62" s="31">
        <v>0</v>
      </c>
      <c r="J62" s="17" t="s">
        <v>51</v>
      </c>
      <c r="K62" s="31">
        <v>0</v>
      </c>
      <c r="L62" s="17" t="s">
        <v>51</v>
      </c>
      <c r="M62" s="31">
        <v>8800000</v>
      </c>
      <c r="N62" s="17" t="s">
        <v>1027</v>
      </c>
      <c r="O62" s="31">
        <f t="shared" si="2"/>
        <v>8800000</v>
      </c>
      <c r="P62" s="31">
        <v>308851</v>
      </c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  <c r="W62" s="17" t="s">
        <v>231</v>
      </c>
      <c r="X62" s="17" t="s">
        <v>51</v>
      </c>
      <c r="Y62" s="2" t="s">
        <v>51</v>
      </c>
      <c r="Z62" s="2" t="s">
        <v>51</v>
      </c>
      <c r="AA62" s="32"/>
      <c r="AB62" s="2" t="s">
        <v>51</v>
      </c>
    </row>
    <row r="63" spans="1:28" ht="30" customHeight="1" x14ac:dyDescent="0.3">
      <c r="A63" s="17" t="s">
        <v>1029</v>
      </c>
      <c r="B63" s="17" t="s">
        <v>224</v>
      </c>
      <c r="C63" s="17" t="s">
        <v>234</v>
      </c>
      <c r="D63" s="30" t="s">
        <v>226</v>
      </c>
      <c r="E63" s="31">
        <v>0</v>
      </c>
      <c r="F63" s="17" t="s">
        <v>51</v>
      </c>
      <c r="G63" s="31">
        <v>0</v>
      </c>
      <c r="H63" s="17" t="s">
        <v>51</v>
      </c>
      <c r="I63" s="31">
        <v>0</v>
      </c>
      <c r="J63" s="17" t="s">
        <v>51</v>
      </c>
      <c r="K63" s="31">
        <v>0</v>
      </c>
      <c r="L63" s="17" t="s">
        <v>51</v>
      </c>
      <c r="M63" s="31">
        <v>8000000</v>
      </c>
      <c r="N63" s="17" t="s">
        <v>1027</v>
      </c>
      <c r="O63" s="31">
        <f t="shared" si="2"/>
        <v>8000000</v>
      </c>
      <c r="P63" s="31">
        <v>308851</v>
      </c>
      <c r="Q63" s="31">
        <v>0</v>
      </c>
      <c r="R63" s="31">
        <v>0</v>
      </c>
      <c r="S63" s="31">
        <v>0</v>
      </c>
      <c r="T63" s="31">
        <v>0</v>
      </c>
      <c r="U63" s="31">
        <v>0</v>
      </c>
      <c r="V63" s="31">
        <v>0</v>
      </c>
      <c r="W63" s="17" t="s">
        <v>235</v>
      </c>
      <c r="X63" s="17" t="s">
        <v>51</v>
      </c>
      <c r="Y63" s="2" t="s">
        <v>51</v>
      </c>
      <c r="Z63" s="2" t="s">
        <v>51</v>
      </c>
      <c r="AA63" s="32"/>
      <c r="AB63" s="2" t="s">
        <v>51</v>
      </c>
    </row>
    <row r="64" spans="1:28" ht="30" customHeight="1" x14ac:dyDescent="0.3">
      <c r="A64" s="17" t="s">
        <v>1030</v>
      </c>
      <c r="B64" s="17" t="s">
        <v>224</v>
      </c>
      <c r="C64" s="17" t="s">
        <v>238</v>
      </c>
      <c r="D64" s="30" t="s">
        <v>226</v>
      </c>
      <c r="E64" s="31">
        <v>0</v>
      </c>
      <c r="F64" s="17" t="s">
        <v>51</v>
      </c>
      <c r="G64" s="31">
        <v>0</v>
      </c>
      <c r="H64" s="17" t="s">
        <v>51</v>
      </c>
      <c r="I64" s="31">
        <v>0</v>
      </c>
      <c r="J64" s="17" t="s">
        <v>51</v>
      </c>
      <c r="K64" s="31">
        <v>0</v>
      </c>
      <c r="L64" s="17" t="s">
        <v>51</v>
      </c>
      <c r="M64" s="31">
        <v>4400000</v>
      </c>
      <c r="N64" s="17" t="s">
        <v>1027</v>
      </c>
      <c r="O64" s="31">
        <f t="shared" si="2"/>
        <v>4400000</v>
      </c>
      <c r="P64" s="31">
        <v>154426</v>
      </c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17" t="s">
        <v>239</v>
      </c>
      <c r="X64" s="17" t="s">
        <v>51</v>
      </c>
      <c r="Y64" s="2" t="s">
        <v>51</v>
      </c>
      <c r="Z64" s="2" t="s">
        <v>51</v>
      </c>
      <c r="AA64" s="32"/>
      <c r="AB64" s="2" t="s">
        <v>51</v>
      </c>
    </row>
    <row r="65" spans="1:28" ht="30" customHeight="1" x14ac:dyDescent="0.3">
      <c r="A65" s="17" t="s">
        <v>1031</v>
      </c>
      <c r="B65" s="17" t="s">
        <v>224</v>
      </c>
      <c r="C65" s="17" t="s">
        <v>242</v>
      </c>
      <c r="D65" s="30" t="s">
        <v>226</v>
      </c>
      <c r="E65" s="31">
        <v>0</v>
      </c>
      <c r="F65" s="17" t="s">
        <v>51</v>
      </c>
      <c r="G65" s="31">
        <v>0</v>
      </c>
      <c r="H65" s="17" t="s">
        <v>51</v>
      </c>
      <c r="I65" s="31">
        <v>0</v>
      </c>
      <c r="J65" s="17" t="s">
        <v>51</v>
      </c>
      <c r="K65" s="31">
        <v>0</v>
      </c>
      <c r="L65" s="17" t="s">
        <v>51</v>
      </c>
      <c r="M65" s="31">
        <v>4000000</v>
      </c>
      <c r="N65" s="17" t="s">
        <v>1027</v>
      </c>
      <c r="O65" s="31">
        <f t="shared" si="2"/>
        <v>4000000</v>
      </c>
      <c r="P65" s="31">
        <v>154426</v>
      </c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  <c r="W65" s="17" t="s">
        <v>243</v>
      </c>
      <c r="X65" s="17" t="s">
        <v>51</v>
      </c>
      <c r="Y65" s="2" t="s">
        <v>51</v>
      </c>
      <c r="Z65" s="2" t="s">
        <v>51</v>
      </c>
      <c r="AA65" s="32"/>
      <c r="AB65" s="2" t="s">
        <v>51</v>
      </c>
    </row>
    <row r="66" spans="1:28" ht="30" customHeight="1" x14ac:dyDescent="0.3">
      <c r="A66" s="17" t="s">
        <v>1032</v>
      </c>
      <c r="B66" s="17" t="s">
        <v>246</v>
      </c>
      <c r="C66" s="17" t="s">
        <v>151</v>
      </c>
      <c r="D66" s="30" t="s">
        <v>187</v>
      </c>
      <c r="E66" s="31">
        <v>0</v>
      </c>
      <c r="F66" s="17" t="s">
        <v>51</v>
      </c>
      <c r="G66" s="31">
        <v>0</v>
      </c>
      <c r="H66" s="17" t="s">
        <v>51</v>
      </c>
      <c r="I66" s="31">
        <v>0</v>
      </c>
      <c r="J66" s="17" t="s">
        <v>51</v>
      </c>
      <c r="K66" s="31">
        <v>0</v>
      </c>
      <c r="L66" s="17" t="s">
        <v>51</v>
      </c>
      <c r="M66" s="31">
        <v>150000</v>
      </c>
      <c r="N66" s="17" t="s">
        <v>1027</v>
      </c>
      <c r="O66" s="31">
        <f t="shared" si="2"/>
        <v>150000</v>
      </c>
      <c r="P66" s="31">
        <v>0</v>
      </c>
      <c r="Q66" s="31">
        <v>0</v>
      </c>
      <c r="R66" s="31">
        <v>0</v>
      </c>
      <c r="S66" s="31">
        <v>0</v>
      </c>
      <c r="T66" s="31">
        <v>0</v>
      </c>
      <c r="U66" s="31">
        <v>0</v>
      </c>
      <c r="V66" s="31">
        <v>0</v>
      </c>
      <c r="W66" s="17" t="s">
        <v>247</v>
      </c>
      <c r="X66" s="17" t="s">
        <v>51</v>
      </c>
      <c r="Y66" s="2" t="s">
        <v>51</v>
      </c>
      <c r="Z66" s="2" t="s">
        <v>51</v>
      </c>
      <c r="AA66" s="32"/>
      <c r="AB66" s="2" t="s">
        <v>51</v>
      </c>
    </row>
    <row r="67" spans="1:28" ht="30" customHeight="1" x14ac:dyDescent="0.3">
      <c r="A67" s="17" t="s">
        <v>1033</v>
      </c>
      <c r="B67" s="17" t="s">
        <v>250</v>
      </c>
      <c r="C67" s="17" t="s">
        <v>251</v>
      </c>
      <c r="D67" s="30" t="s">
        <v>187</v>
      </c>
      <c r="E67" s="31">
        <v>0</v>
      </c>
      <c r="F67" s="17" t="s">
        <v>51</v>
      </c>
      <c r="G67" s="31">
        <v>0</v>
      </c>
      <c r="H67" s="17" t="s">
        <v>51</v>
      </c>
      <c r="I67" s="31">
        <v>0</v>
      </c>
      <c r="J67" s="17" t="s">
        <v>51</v>
      </c>
      <c r="K67" s="31">
        <v>0</v>
      </c>
      <c r="L67" s="17" t="s">
        <v>51</v>
      </c>
      <c r="M67" s="31">
        <v>50000</v>
      </c>
      <c r="N67" s="17" t="s">
        <v>1027</v>
      </c>
      <c r="O67" s="31">
        <f t="shared" si="2"/>
        <v>50000</v>
      </c>
      <c r="P67" s="31">
        <v>0</v>
      </c>
      <c r="Q67" s="31">
        <v>0</v>
      </c>
      <c r="R67" s="31">
        <v>0</v>
      </c>
      <c r="S67" s="31">
        <v>0</v>
      </c>
      <c r="T67" s="31">
        <v>0</v>
      </c>
      <c r="U67" s="31">
        <v>0</v>
      </c>
      <c r="V67" s="31">
        <v>0</v>
      </c>
      <c r="W67" s="17" t="s">
        <v>252</v>
      </c>
      <c r="X67" s="17" t="s">
        <v>51</v>
      </c>
      <c r="Y67" s="2" t="s">
        <v>51</v>
      </c>
      <c r="Z67" s="2" t="s">
        <v>51</v>
      </c>
      <c r="AA67" s="32"/>
      <c r="AB67" s="2" t="s">
        <v>51</v>
      </c>
    </row>
    <row r="68" spans="1:28" ht="30" customHeight="1" x14ac:dyDescent="0.3">
      <c r="A68" s="17" t="s">
        <v>1034</v>
      </c>
      <c r="B68" s="17" t="s">
        <v>255</v>
      </c>
      <c r="C68" s="17" t="s">
        <v>256</v>
      </c>
      <c r="D68" s="30" t="s">
        <v>187</v>
      </c>
      <c r="E68" s="31">
        <v>0</v>
      </c>
      <c r="F68" s="17" t="s">
        <v>51</v>
      </c>
      <c r="G68" s="31">
        <v>0</v>
      </c>
      <c r="H68" s="17" t="s">
        <v>51</v>
      </c>
      <c r="I68" s="31">
        <v>0</v>
      </c>
      <c r="J68" s="17" t="s">
        <v>51</v>
      </c>
      <c r="K68" s="31">
        <v>0</v>
      </c>
      <c r="L68" s="17" t="s">
        <v>51</v>
      </c>
      <c r="M68" s="31">
        <v>850000</v>
      </c>
      <c r="N68" s="17" t="s">
        <v>966</v>
      </c>
      <c r="O68" s="31">
        <f t="shared" si="2"/>
        <v>850000</v>
      </c>
      <c r="P68" s="31">
        <v>256546</v>
      </c>
      <c r="Q68" s="31">
        <v>0</v>
      </c>
      <c r="R68" s="31">
        <v>0</v>
      </c>
      <c r="S68" s="31">
        <v>0</v>
      </c>
      <c r="T68" s="31">
        <v>0</v>
      </c>
      <c r="U68" s="31">
        <v>0</v>
      </c>
      <c r="V68" s="31">
        <v>0</v>
      </c>
      <c r="W68" s="17" t="s">
        <v>257</v>
      </c>
      <c r="X68" s="17" t="s">
        <v>51</v>
      </c>
      <c r="Y68" s="2" t="s">
        <v>51</v>
      </c>
      <c r="Z68" s="2" t="s">
        <v>51</v>
      </c>
      <c r="AA68" s="32"/>
      <c r="AB68" s="2" t="s">
        <v>51</v>
      </c>
    </row>
    <row r="69" spans="1:28" ht="30" customHeight="1" x14ac:dyDescent="0.3">
      <c r="A69" s="17" t="s">
        <v>1035</v>
      </c>
      <c r="B69" s="17" t="s">
        <v>255</v>
      </c>
      <c r="C69" s="17" t="s">
        <v>260</v>
      </c>
      <c r="D69" s="30" t="s">
        <v>187</v>
      </c>
      <c r="E69" s="31">
        <v>0</v>
      </c>
      <c r="F69" s="17" t="s">
        <v>51</v>
      </c>
      <c r="G69" s="31">
        <v>0</v>
      </c>
      <c r="H69" s="17" t="s">
        <v>51</v>
      </c>
      <c r="I69" s="31">
        <v>0</v>
      </c>
      <c r="J69" s="17" t="s">
        <v>51</v>
      </c>
      <c r="K69" s="31">
        <v>0</v>
      </c>
      <c r="L69" s="17" t="s">
        <v>51</v>
      </c>
      <c r="M69" s="31">
        <v>750000</v>
      </c>
      <c r="N69" s="17" t="s">
        <v>966</v>
      </c>
      <c r="O69" s="31">
        <f t="shared" si="2"/>
        <v>750000</v>
      </c>
      <c r="P69" s="31">
        <v>256546</v>
      </c>
      <c r="Q69" s="31">
        <v>0</v>
      </c>
      <c r="R69" s="31">
        <v>0</v>
      </c>
      <c r="S69" s="31">
        <v>0</v>
      </c>
      <c r="T69" s="31">
        <v>0</v>
      </c>
      <c r="U69" s="31">
        <v>0</v>
      </c>
      <c r="V69" s="31">
        <v>0</v>
      </c>
      <c r="W69" s="17" t="s">
        <v>261</v>
      </c>
      <c r="X69" s="17" t="s">
        <v>51</v>
      </c>
      <c r="Y69" s="2" t="s">
        <v>51</v>
      </c>
      <c r="Z69" s="2" t="s">
        <v>51</v>
      </c>
      <c r="AA69" s="32"/>
      <c r="AB69" s="2" t="s">
        <v>51</v>
      </c>
    </row>
    <row r="70" spans="1:28" ht="30" customHeight="1" x14ac:dyDescent="0.3">
      <c r="A70" s="17" t="s">
        <v>1036</v>
      </c>
      <c r="B70" s="17" t="s">
        <v>264</v>
      </c>
      <c r="C70" s="17" t="s">
        <v>265</v>
      </c>
      <c r="D70" s="30" t="s">
        <v>187</v>
      </c>
      <c r="E70" s="31">
        <v>0</v>
      </c>
      <c r="F70" s="17" t="s">
        <v>51</v>
      </c>
      <c r="G70" s="31">
        <v>0</v>
      </c>
      <c r="H70" s="17" t="s">
        <v>51</v>
      </c>
      <c r="I70" s="31">
        <v>0</v>
      </c>
      <c r="J70" s="17" t="s">
        <v>51</v>
      </c>
      <c r="K70" s="31">
        <v>0</v>
      </c>
      <c r="L70" s="17" t="s">
        <v>51</v>
      </c>
      <c r="M70" s="31">
        <v>65000</v>
      </c>
      <c r="N70" s="17" t="s">
        <v>1027</v>
      </c>
      <c r="O70" s="31">
        <f t="shared" si="2"/>
        <v>65000</v>
      </c>
      <c r="P70" s="31">
        <v>52306</v>
      </c>
      <c r="Q70" s="31">
        <v>0</v>
      </c>
      <c r="R70" s="31">
        <v>0</v>
      </c>
      <c r="S70" s="31">
        <v>0</v>
      </c>
      <c r="T70" s="31">
        <v>0</v>
      </c>
      <c r="U70" s="31">
        <v>0</v>
      </c>
      <c r="V70" s="31">
        <v>0</v>
      </c>
      <c r="W70" s="17" t="s">
        <v>266</v>
      </c>
      <c r="X70" s="17" t="s">
        <v>51</v>
      </c>
      <c r="Y70" s="2" t="s">
        <v>51</v>
      </c>
      <c r="Z70" s="2" t="s">
        <v>51</v>
      </c>
      <c r="AA70" s="32"/>
      <c r="AB70" s="2" t="s">
        <v>51</v>
      </c>
    </row>
    <row r="71" spans="1:28" ht="30" customHeight="1" x14ac:dyDescent="0.3">
      <c r="A71" s="17" t="s">
        <v>1037</v>
      </c>
      <c r="B71" s="17" t="s">
        <v>269</v>
      </c>
      <c r="C71" s="17" t="s">
        <v>265</v>
      </c>
      <c r="D71" s="30" t="s">
        <v>187</v>
      </c>
      <c r="E71" s="31">
        <v>0</v>
      </c>
      <c r="F71" s="17" t="s">
        <v>51</v>
      </c>
      <c r="G71" s="31">
        <v>0</v>
      </c>
      <c r="H71" s="17" t="s">
        <v>51</v>
      </c>
      <c r="I71" s="31">
        <v>0</v>
      </c>
      <c r="J71" s="17" t="s">
        <v>51</v>
      </c>
      <c r="K71" s="31">
        <v>0</v>
      </c>
      <c r="L71" s="17" t="s">
        <v>51</v>
      </c>
      <c r="M71" s="31">
        <v>65000</v>
      </c>
      <c r="N71" s="17" t="s">
        <v>1027</v>
      </c>
      <c r="O71" s="31">
        <f t="shared" si="2"/>
        <v>65000</v>
      </c>
      <c r="P71" s="31">
        <v>52306</v>
      </c>
      <c r="Q71" s="31">
        <v>0</v>
      </c>
      <c r="R71" s="31">
        <v>0</v>
      </c>
      <c r="S71" s="31">
        <v>0</v>
      </c>
      <c r="T71" s="31">
        <v>0</v>
      </c>
      <c r="U71" s="31">
        <v>0</v>
      </c>
      <c r="V71" s="31">
        <v>0</v>
      </c>
      <c r="W71" s="17" t="s">
        <v>270</v>
      </c>
      <c r="X71" s="17" t="s">
        <v>51</v>
      </c>
      <c r="Y71" s="2" t="s">
        <v>51</v>
      </c>
      <c r="Z71" s="2" t="s">
        <v>51</v>
      </c>
      <c r="AA71" s="32"/>
      <c r="AB71" s="2" t="s">
        <v>51</v>
      </c>
    </row>
    <row r="72" spans="1:28" ht="30" customHeight="1" x14ac:dyDescent="0.3">
      <c r="A72" s="17" t="s">
        <v>1038</v>
      </c>
      <c r="B72" s="17" t="s">
        <v>264</v>
      </c>
      <c r="C72" s="17" t="s">
        <v>273</v>
      </c>
      <c r="D72" s="30" t="s">
        <v>187</v>
      </c>
      <c r="E72" s="31">
        <v>0</v>
      </c>
      <c r="F72" s="17" t="s">
        <v>51</v>
      </c>
      <c r="G72" s="31">
        <v>0</v>
      </c>
      <c r="H72" s="17" t="s">
        <v>51</v>
      </c>
      <c r="I72" s="31">
        <v>0</v>
      </c>
      <c r="J72" s="17" t="s">
        <v>51</v>
      </c>
      <c r="K72" s="31">
        <v>0</v>
      </c>
      <c r="L72" s="17" t="s">
        <v>51</v>
      </c>
      <c r="M72" s="31">
        <v>52000</v>
      </c>
      <c r="N72" s="17" t="s">
        <v>1027</v>
      </c>
      <c r="O72" s="31">
        <f t="shared" si="2"/>
        <v>52000</v>
      </c>
      <c r="P72" s="31">
        <v>52306</v>
      </c>
      <c r="Q72" s="31">
        <v>0</v>
      </c>
      <c r="R72" s="31">
        <v>0</v>
      </c>
      <c r="S72" s="31">
        <v>0</v>
      </c>
      <c r="T72" s="31">
        <v>0</v>
      </c>
      <c r="U72" s="31">
        <v>0</v>
      </c>
      <c r="V72" s="31">
        <v>0</v>
      </c>
      <c r="W72" s="17" t="s">
        <v>274</v>
      </c>
      <c r="X72" s="17" t="s">
        <v>51</v>
      </c>
      <c r="Y72" s="2" t="s">
        <v>51</v>
      </c>
      <c r="Z72" s="2" t="s">
        <v>51</v>
      </c>
      <c r="AA72" s="32"/>
      <c r="AB72" s="2" t="s">
        <v>51</v>
      </c>
    </row>
    <row r="73" spans="1:28" ht="30" customHeight="1" x14ac:dyDescent="0.3">
      <c r="A73" s="17" t="s">
        <v>1039</v>
      </c>
      <c r="B73" s="17" t="s">
        <v>269</v>
      </c>
      <c r="C73" s="17" t="s">
        <v>273</v>
      </c>
      <c r="D73" s="30" t="s">
        <v>187</v>
      </c>
      <c r="E73" s="31">
        <v>0</v>
      </c>
      <c r="F73" s="17" t="s">
        <v>51</v>
      </c>
      <c r="G73" s="31">
        <v>0</v>
      </c>
      <c r="H73" s="17" t="s">
        <v>51</v>
      </c>
      <c r="I73" s="31">
        <v>0</v>
      </c>
      <c r="J73" s="17" t="s">
        <v>51</v>
      </c>
      <c r="K73" s="31">
        <v>0</v>
      </c>
      <c r="L73" s="17" t="s">
        <v>51</v>
      </c>
      <c r="M73" s="31">
        <v>52000</v>
      </c>
      <c r="N73" s="17" t="s">
        <v>1027</v>
      </c>
      <c r="O73" s="31">
        <f t="shared" si="2"/>
        <v>52000</v>
      </c>
      <c r="P73" s="31">
        <v>52306</v>
      </c>
      <c r="Q73" s="31">
        <v>0</v>
      </c>
      <c r="R73" s="31">
        <v>0</v>
      </c>
      <c r="S73" s="31">
        <v>0</v>
      </c>
      <c r="T73" s="31">
        <v>0</v>
      </c>
      <c r="U73" s="31">
        <v>0</v>
      </c>
      <c r="V73" s="31">
        <v>0</v>
      </c>
      <c r="W73" s="17" t="s">
        <v>277</v>
      </c>
      <c r="X73" s="17" t="s">
        <v>51</v>
      </c>
      <c r="Y73" s="2" t="s">
        <v>51</v>
      </c>
      <c r="Z73" s="2" t="s">
        <v>51</v>
      </c>
      <c r="AA73" s="32"/>
      <c r="AB73" s="2" t="s">
        <v>51</v>
      </c>
    </row>
    <row r="74" spans="1:28" ht="30" customHeight="1" x14ac:dyDescent="0.3">
      <c r="A74" s="17" t="s">
        <v>1040</v>
      </c>
      <c r="B74" s="17" t="s">
        <v>280</v>
      </c>
      <c r="C74" s="17" t="s">
        <v>281</v>
      </c>
      <c r="D74" s="30" t="s">
        <v>187</v>
      </c>
      <c r="E74" s="31">
        <v>0</v>
      </c>
      <c r="F74" s="17" t="s">
        <v>51</v>
      </c>
      <c r="G74" s="31">
        <v>0</v>
      </c>
      <c r="H74" s="17" t="s">
        <v>51</v>
      </c>
      <c r="I74" s="31">
        <v>0</v>
      </c>
      <c r="J74" s="17" t="s">
        <v>51</v>
      </c>
      <c r="K74" s="31">
        <v>0</v>
      </c>
      <c r="L74" s="17" t="s">
        <v>51</v>
      </c>
      <c r="M74" s="31">
        <v>710000</v>
      </c>
      <c r="N74" s="17" t="s">
        <v>1027</v>
      </c>
      <c r="O74" s="31">
        <f t="shared" si="2"/>
        <v>710000</v>
      </c>
      <c r="P74" s="31">
        <v>164431</v>
      </c>
      <c r="Q74" s="31">
        <v>0</v>
      </c>
      <c r="R74" s="31">
        <v>0</v>
      </c>
      <c r="S74" s="31">
        <v>0</v>
      </c>
      <c r="T74" s="31">
        <v>0</v>
      </c>
      <c r="U74" s="31">
        <v>0</v>
      </c>
      <c r="V74" s="31">
        <v>0</v>
      </c>
      <c r="W74" s="17" t="s">
        <v>282</v>
      </c>
      <c r="X74" s="17" t="s">
        <v>51</v>
      </c>
      <c r="Y74" s="2" t="s">
        <v>51</v>
      </c>
      <c r="Z74" s="2" t="s">
        <v>51</v>
      </c>
      <c r="AA74" s="32"/>
      <c r="AB74" s="2" t="s">
        <v>51</v>
      </c>
    </row>
    <row r="75" spans="1:28" ht="30" customHeight="1" x14ac:dyDescent="0.3">
      <c r="A75" s="17" t="s">
        <v>1041</v>
      </c>
      <c r="B75" s="17" t="s">
        <v>280</v>
      </c>
      <c r="C75" s="17" t="s">
        <v>285</v>
      </c>
      <c r="D75" s="30" t="s">
        <v>187</v>
      </c>
      <c r="E75" s="31">
        <v>0</v>
      </c>
      <c r="F75" s="17" t="s">
        <v>51</v>
      </c>
      <c r="G75" s="31">
        <v>0</v>
      </c>
      <c r="H75" s="17" t="s">
        <v>51</v>
      </c>
      <c r="I75" s="31">
        <v>0</v>
      </c>
      <c r="J75" s="17" t="s">
        <v>51</v>
      </c>
      <c r="K75" s="31">
        <v>0</v>
      </c>
      <c r="L75" s="17" t="s">
        <v>51</v>
      </c>
      <c r="M75" s="31">
        <v>590000</v>
      </c>
      <c r="N75" s="17" t="s">
        <v>1027</v>
      </c>
      <c r="O75" s="31">
        <f t="shared" si="2"/>
        <v>590000</v>
      </c>
      <c r="P75" s="31">
        <v>112396</v>
      </c>
      <c r="Q75" s="31">
        <v>0</v>
      </c>
      <c r="R75" s="31">
        <v>0</v>
      </c>
      <c r="S75" s="31">
        <v>0</v>
      </c>
      <c r="T75" s="31">
        <v>0</v>
      </c>
      <c r="U75" s="31">
        <v>0</v>
      </c>
      <c r="V75" s="31">
        <v>0</v>
      </c>
      <c r="W75" s="17" t="s">
        <v>286</v>
      </c>
      <c r="X75" s="17" t="s">
        <v>51</v>
      </c>
      <c r="Y75" s="2" t="s">
        <v>51</v>
      </c>
      <c r="Z75" s="2" t="s">
        <v>51</v>
      </c>
      <c r="AA75" s="32"/>
      <c r="AB75" s="2" t="s">
        <v>51</v>
      </c>
    </row>
    <row r="76" spans="1:28" ht="30" customHeight="1" x14ac:dyDescent="0.3">
      <c r="A76" s="17" t="s">
        <v>1042</v>
      </c>
      <c r="B76" s="17" t="s">
        <v>280</v>
      </c>
      <c r="C76" s="17" t="s">
        <v>289</v>
      </c>
      <c r="D76" s="30" t="s">
        <v>187</v>
      </c>
      <c r="E76" s="31">
        <v>0</v>
      </c>
      <c r="F76" s="17" t="s">
        <v>51</v>
      </c>
      <c r="G76" s="31">
        <v>0</v>
      </c>
      <c r="H76" s="17" t="s">
        <v>51</v>
      </c>
      <c r="I76" s="31">
        <v>0</v>
      </c>
      <c r="J76" s="17" t="s">
        <v>51</v>
      </c>
      <c r="K76" s="31">
        <v>0</v>
      </c>
      <c r="L76" s="17" t="s">
        <v>51</v>
      </c>
      <c r="M76" s="31">
        <v>520000</v>
      </c>
      <c r="N76" s="17" t="s">
        <v>1027</v>
      </c>
      <c r="O76" s="31">
        <f t="shared" si="2"/>
        <v>520000</v>
      </c>
      <c r="P76" s="31">
        <v>86379</v>
      </c>
      <c r="Q76" s="31">
        <v>0</v>
      </c>
      <c r="R76" s="31">
        <v>0</v>
      </c>
      <c r="S76" s="31">
        <v>0</v>
      </c>
      <c r="T76" s="31">
        <v>0</v>
      </c>
      <c r="U76" s="31">
        <v>0</v>
      </c>
      <c r="V76" s="31">
        <v>0</v>
      </c>
      <c r="W76" s="17" t="s">
        <v>290</v>
      </c>
      <c r="X76" s="17" t="s">
        <v>51</v>
      </c>
      <c r="Y76" s="2" t="s">
        <v>51</v>
      </c>
      <c r="Z76" s="2" t="s">
        <v>51</v>
      </c>
      <c r="AA76" s="32"/>
      <c r="AB76" s="2" t="s">
        <v>51</v>
      </c>
    </row>
    <row r="77" spans="1:28" ht="30" customHeight="1" x14ac:dyDescent="0.3">
      <c r="A77" s="17" t="s">
        <v>1043</v>
      </c>
      <c r="B77" s="17" t="s">
        <v>280</v>
      </c>
      <c r="C77" s="17" t="s">
        <v>293</v>
      </c>
      <c r="D77" s="30" t="s">
        <v>187</v>
      </c>
      <c r="E77" s="31">
        <v>0</v>
      </c>
      <c r="F77" s="17" t="s">
        <v>51</v>
      </c>
      <c r="G77" s="31">
        <v>0</v>
      </c>
      <c r="H77" s="17" t="s">
        <v>51</v>
      </c>
      <c r="I77" s="31">
        <v>0</v>
      </c>
      <c r="J77" s="17" t="s">
        <v>51</v>
      </c>
      <c r="K77" s="31">
        <v>0</v>
      </c>
      <c r="L77" s="17" t="s">
        <v>51</v>
      </c>
      <c r="M77" s="31">
        <v>480000</v>
      </c>
      <c r="N77" s="17" t="s">
        <v>1027</v>
      </c>
      <c r="O77" s="31">
        <f t="shared" si="2"/>
        <v>480000</v>
      </c>
      <c r="P77" s="31">
        <v>86379</v>
      </c>
      <c r="Q77" s="31">
        <v>0</v>
      </c>
      <c r="R77" s="31">
        <v>0</v>
      </c>
      <c r="S77" s="31">
        <v>0</v>
      </c>
      <c r="T77" s="31">
        <v>0</v>
      </c>
      <c r="U77" s="31">
        <v>0</v>
      </c>
      <c r="V77" s="31">
        <v>0</v>
      </c>
      <c r="W77" s="17" t="s">
        <v>294</v>
      </c>
      <c r="X77" s="17" t="s">
        <v>51</v>
      </c>
      <c r="Y77" s="2" t="s">
        <v>51</v>
      </c>
      <c r="Z77" s="2" t="s">
        <v>51</v>
      </c>
      <c r="AA77" s="32"/>
      <c r="AB77" s="2" t="s">
        <v>51</v>
      </c>
    </row>
    <row r="78" spans="1:28" ht="30" customHeight="1" x14ac:dyDescent="0.3">
      <c r="A78" s="17" t="s">
        <v>1044</v>
      </c>
      <c r="B78" s="17" t="s">
        <v>297</v>
      </c>
      <c r="C78" s="17" t="s">
        <v>298</v>
      </c>
      <c r="D78" s="30" t="s">
        <v>187</v>
      </c>
      <c r="E78" s="31">
        <v>0</v>
      </c>
      <c r="F78" s="17" t="s">
        <v>51</v>
      </c>
      <c r="G78" s="31">
        <v>0</v>
      </c>
      <c r="H78" s="17" t="s">
        <v>51</v>
      </c>
      <c r="I78" s="31">
        <v>0</v>
      </c>
      <c r="J78" s="17" t="s">
        <v>51</v>
      </c>
      <c r="K78" s="31">
        <v>0</v>
      </c>
      <c r="L78" s="17" t="s">
        <v>51</v>
      </c>
      <c r="M78" s="31">
        <v>12000</v>
      </c>
      <c r="N78" s="17" t="s">
        <v>1045</v>
      </c>
      <c r="O78" s="31">
        <f t="shared" si="2"/>
        <v>12000</v>
      </c>
      <c r="P78" s="31">
        <v>0</v>
      </c>
      <c r="Q78" s="31">
        <v>0</v>
      </c>
      <c r="R78" s="31">
        <v>0</v>
      </c>
      <c r="S78" s="31">
        <v>0</v>
      </c>
      <c r="T78" s="31">
        <v>0</v>
      </c>
      <c r="U78" s="31">
        <v>0</v>
      </c>
      <c r="V78" s="31">
        <v>0</v>
      </c>
      <c r="W78" s="17" t="s">
        <v>299</v>
      </c>
      <c r="X78" s="17" t="s">
        <v>51</v>
      </c>
      <c r="Y78" s="2" t="s">
        <v>51</v>
      </c>
      <c r="Z78" s="2" t="s">
        <v>51</v>
      </c>
      <c r="AA78" s="32"/>
      <c r="AB78" s="2" t="s">
        <v>51</v>
      </c>
    </row>
    <row r="79" spans="1:28" ht="30" customHeight="1" x14ac:dyDescent="0.3">
      <c r="A79" s="17" t="s">
        <v>1046</v>
      </c>
      <c r="B79" s="17" t="s">
        <v>302</v>
      </c>
      <c r="C79" s="17" t="s">
        <v>298</v>
      </c>
      <c r="D79" s="30" t="s">
        <v>187</v>
      </c>
      <c r="E79" s="31">
        <v>0</v>
      </c>
      <c r="F79" s="17" t="s">
        <v>51</v>
      </c>
      <c r="G79" s="31">
        <v>0</v>
      </c>
      <c r="H79" s="17" t="s">
        <v>51</v>
      </c>
      <c r="I79" s="31">
        <v>0</v>
      </c>
      <c r="J79" s="17" t="s">
        <v>51</v>
      </c>
      <c r="K79" s="31">
        <v>0</v>
      </c>
      <c r="L79" s="17" t="s">
        <v>51</v>
      </c>
      <c r="M79" s="31">
        <v>120000</v>
      </c>
      <c r="N79" s="17" t="s">
        <v>1027</v>
      </c>
      <c r="O79" s="31">
        <f t="shared" si="2"/>
        <v>120000</v>
      </c>
      <c r="P79" s="31">
        <v>0</v>
      </c>
      <c r="Q79" s="31">
        <v>0</v>
      </c>
      <c r="R79" s="31">
        <v>0</v>
      </c>
      <c r="S79" s="31">
        <v>0</v>
      </c>
      <c r="T79" s="31">
        <v>0</v>
      </c>
      <c r="U79" s="31">
        <v>0</v>
      </c>
      <c r="V79" s="31">
        <v>0</v>
      </c>
      <c r="W79" s="17" t="s">
        <v>303</v>
      </c>
      <c r="X79" s="17" t="s">
        <v>51</v>
      </c>
      <c r="Y79" s="2" t="s">
        <v>51</v>
      </c>
      <c r="Z79" s="2" t="s">
        <v>51</v>
      </c>
      <c r="AA79" s="32"/>
      <c r="AB79" s="2" t="s">
        <v>51</v>
      </c>
    </row>
    <row r="80" spans="1:28" ht="30" customHeight="1" x14ac:dyDescent="0.3">
      <c r="A80" s="17" t="s">
        <v>1047</v>
      </c>
      <c r="B80" s="17" t="s">
        <v>306</v>
      </c>
      <c r="C80" s="17" t="s">
        <v>298</v>
      </c>
      <c r="D80" s="30" t="s">
        <v>187</v>
      </c>
      <c r="E80" s="31">
        <v>0</v>
      </c>
      <c r="F80" s="17" t="s">
        <v>51</v>
      </c>
      <c r="G80" s="31">
        <v>0</v>
      </c>
      <c r="H80" s="17" t="s">
        <v>51</v>
      </c>
      <c r="I80" s="31">
        <v>0</v>
      </c>
      <c r="J80" s="17" t="s">
        <v>51</v>
      </c>
      <c r="K80" s="31">
        <v>0</v>
      </c>
      <c r="L80" s="17" t="s">
        <v>51</v>
      </c>
      <c r="M80" s="31">
        <v>120000</v>
      </c>
      <c r="N80" s="17" t="s">
        <v>1027</v>
      </c>
      <c r="O80" s="31">
        <f t="shared" si="2"/>
        <v>120000</v>
      </c>
      <c r="P80" s="31">
        <v>0</v>
      </c>
      <c r="Q80" s="31">
        <v>0</v>
      </c>
      <c r="R80" s="31">
        <v>0</v>
      </c>
      <c r="S80" s="31">
        <v>0</v>
      </c>
      <c r="T80" s="31">
        <v>0</v>
      </c>
      <c r="U80" s="31">
        <v>0</v>
      </c>
      <c r="V80" s="31">
        <v>0</v>
      </c>
      <c r="W80" s="17" t="s">
        <v>307</v>
      </c>
      <c r="X80" s="17" t="s">
        <v>51</v>
      </c>
      <c r="Y80" s="2" t="s">
        <v>51</v>
      </c>
      <c r="Z80" s="2" t="s">
        <v>51</v>
      </c>
      <c r="AA80" s="32"/>
      <c r="AB80" s="2" t="s">
        <v>51</v>
      </c>
    </row>
    <row r="81" spans="1:28" ht="30" customHeight="1" x14ac:dyDescent="0.3">
      <c r="A81" s="17" t="s">
        <v>1048</v>
      </c>
      <c r="B81" s="17" t="s">
        <v>310</v>
      </c>
      <c r="C81" s="17" t="s">
        <v>311</v>
      </c>
      <c r="D81" s="30" t="s">
        <v>74</v>
      </c>
      <c r="E81" s="31">
        <v>0</v>
      </c>
      <c r="F81" s="17" t="s">
        <v>51</v>
      </c>
      <c r="G81" s="31">
        <v>0</v>
      </c>
      <c r="H81" s="17" t="s">
        <v>51</v>
      </c>
      <c r="I81" s="31">
        <v>0</v>
      </c>
      <c r="J81" s="17" t="s">
        <v>51</v>
      </c>
      <c r="K81" s="31">
        <v>0</v>
      </c>
      <c r="L81" s="17" t="s">
        <v>51</v>
      </c>
      <c r="M81" s="31">
        <v>29985</v>
      </c>
      <c r="N81" s="17" t="s">
        <v>1049</v>
      </c>
      <c r="O81" s="31">
        <f t="shared" si="2"/>
        <v>29985</v>
      </c>
      <c r="P81" s="31">
        <v>87035</v>
      </c>
      <c r="Q81" s="31">
        <v>0</v>
      </c>
      <c r="R81" s="31">
        <v>0</v>
      </c>
      <c r="S81" s="31">
        <v>0</v>
      </c>
      <c r="T81" s="31">
        <v>0</v>
      </c>
      <c r="U81" s="31">
        <v>0</v>
      </c>
      <c r="V81" s="31">
        <v>0</v>
      </c>
      <c r="W81" s="17" t="s">
        <v>312</v>
      </c>
      <c r="X81" s="17" t="s">
        <v>51</v>
      </c>
      <c r="Y81" s="2" t="s">
        <v>51</v>
      </c>
      <c r="Z81" s="2" t="s">
        <v>51</v>
      </c>
      <c r="AA81" s="32"/>
      <c r="AB81" s="2" t="s">
        <v>51</v>
      </c>
    </row>
    <row r="82" spans="1:28" ht="30" customHeight="1" x14ac:dyDescent="0.3">
      <c r="A82" s="17" t="s">
        <v>1050</v>
      </c>
      <c r="B82" s="17" t="s">
        <v>310</v>
      </c>
      <c r="C82" s="17" t="s">
        <v>315</v>
      </c>
      <c r="D82" s="30" t="s">
        <v>74</v>
      </c>
      <c r="E82" s="31">
        <v>0</v>
      </c>
      <c r="F82" s="17" t="s">
        <v>51</v>
      </c>
      <c r="G82" s="31">
        <v>0</v>
      </c>
      <c r="H82" s="17" t="s">
        <v>51</v>
      </c>
      <c r="I82" s="31">
        <v>0</v>
      </c>
      <c r="J82" s="17" t="s">
        <v>51</v>
      </c>
      <c r="K82" s="31">
        <v>0</v>
      </c>
      <c r="L82" s="17" t="s">
        <v>51</v>
      </c>
      <c r="M82" s="31">
        <v>17060</v>
      </c>
      <c r="N82" s="17" t="s">
        <v>1049</v>
      </c>
      <c r="O82" s="31">
        <f t="shared" si="2"/>
        <v>17060</v>
      </c>
      <c r="P82" s="31">
        <v>46967</v>
      </c>
      <c r="Q82" s="31">
        <v>0</v>
      </c>
      <c r="R82" s="31">
        <v>0</v>
      </c>
      <c r="S82" s="31">
        <v>0</v>
      </c>
      <c r="T82" s="31">
        <v>0</v>
      </c>
      <c r="U82" s="31">
        <v>0</v>
      </c>
      <c r="V82" s="31">
        <v>0</v>
      </c>
      <c r="W82" s="17" t="s">
        <v>316</v>
      </c>
      <c r="X82" s="17" t="s">
        <v>51</v>
      </c>
      <c r="Y82" s="2" t="s">
        <v>51</v>
      </c>
      <c r="Z82" s="2" t="s">
        <v>51</v>
      </c>
      <c r="AA82" s="32"/>
      <c r="AB82" s="2" t="s">
        <v>51</v>
      </c>
    </row>
    <row r="83" spans="1:28" ht="30" customHeight="1" x14ac:dyDescent="0.3">
      <c r="A83" s="17" t="s">
        <v>1051</v>
      </c>
      <c r="B83" s="17" t="s">
        <v>310</v>
      </c>
      <c r="C83" s="17" t="s">
        <v>265</v>
      </c>
      <c r="D83" s="30" t="s">
        <v>74</v>
      </c>
      <c r="E83" s="31">
        <v>0</v>
      </c>
      <c r="F83" s="17" t="s">
        <v>51</v>
      </c>
      <c r="G83" s="31">
        <v>0</v>
      </c>
      <c r="H83" s="17" t="s">
        <v>51</v>
      </c>
      <c r="I83" s="31">
        <v>0</v>
      </c>
      <c r="J83" s="17" t="s">
        <v>51</v>
      </c>
      <c r="K83" s="31">
        <v>0</v>
      </c>
      <c r="L83" s="17" t="s">
        <v>51</v>
      </c>
      <c r="M83" s="31">
        <v>10190</v>
      </c>
      <c r="N83" s="17" t="s">
        <v>1049</v>
      </c>
      <c r="O83" s="31">
        <f t="shared" si="2"/>
        <v>10190</v>
      </c>
      <c r="P83" s="31">
        <v>40646</v>
      </c>
      <c r="Q83" s="31">
        <v>0</v>
      </c>
      <c r="R83" s="31">
        <v>0</v>
      </c>
      <c r="S83" s="31">
        <v>0</v>
      </c>
      <c r="T83" s="31">
        <v>0</v>
      </c>
      <c r="U83" s="31">
        <v>0</v>
      </c>
      <c r="V83" s="31">
        <v>0</v>
      </c>
      <c r="W83" s="17" t="s">
        <v>319</v>
      </c>
      <c r="X83" s="17" t="s">
        <v>51</v>
      </c>
      <c r="Y83" s="2" t="s">
        <v>51</v>
      </c>
      <c r="Z83" s="2" t="s">
        <v>51</v>
      </c>
      <c r="AA83" s="32"/>
      <c r="AB83" s="2" t="s">
        <v>51</v>
      </c>
    </row>
    <row r="84" spans="1:28" ht="30" customHeight="1" x14ac:dyDescent="0.3">
      <c r="A84" s="17" t="s">
        <v>1052</v>
      </c>
      <c r="B84" s="17" t="s">
        <v>310</v>
      </c>
      <c r="C84" s="17" t="s">
        <v>273</v>
      </c>
      <c r="D84" s="30" t="s">
        <v>74</v>
      </c>
      <c r="E84" s="31">
        <v>0</v>
      </c>
      <c r="F84" s="17" t="s">
        <v>51</v>
      </c>
      <c r="G84" s="31">
        <v>0</v>
      </c>
      <c r="H84" s="17" t="s">
        <v>51</v>
      </c>
      <c r="I84" s="31">
        <v>0</v>
      </c>
      <c r="J84" s="17" t="s">
        <v>51</v>
      </c>
      <c r="K84" s="31">
        <v>0</v>
      </c>
      <c r="L84" s="17" t="s">
        <v>51</v>
      </c>
      <c r="M84" s="31">
        <v>7304</v>
      </c>
      <c r="N84" s="17" t="s">
        <v>1049</v>
      </c>
      <c r="O84" s="31">
        <f t="shared" si="2"/>
        <v>7304</v>
      </c>
      <c r="P84" s="31">
        <v>31514</v>
      </c>
      <c r="Q84" s="31">
        <v>0</v>
      </c>
      <c r="R84" s="31">
        <v>0</v>
      </c>
      <c r="S84" s="31">
        <v>0</v>
      </c>
      <c r="T84" s="31">
        <v>0</v>
      </c>
      <c r="U84" s="31">
        <v>0</v>
      </c>
      <c r="V84" s="31">
        <v>0</v>
      </c>
      <c r="W84" s="17" t="s">
        <v>322</v>
      </c>
      <c r="X84" s="17" t="s">
        <v>51</v>
      </c>
      <c r="Y84" s="2" t="s">
        <v>51</v>
      </c>
      <c r="Z84" s="2" t="s">
        <v>51</v>
      </c>
      <c r="AA84" s="32"/>
      <c r="AB84" s="2" t="s">
        <v>51</v>
      </c>
    </row>
    <row r="85" spans="1:28" ht="30" customHeight="1" x14ac:dyDescent="0.3">
      <c r="A85" s="17" t="s">
        <v>1053</v>
      </c>
      <c r="B85" s="17" t="s">
        <v>325</v>
      </c>
      <c r="C85" s="17" t="s">
        <v>326</v>
      </c>
      <c r="D85" s="30" t="s">
        <v>187</v>
      </c>
      <c r="E85" s="31">
        <v>0</v>
      </c>
      <c r="F85" s="17" t="s">
        <v>51</v>
      </c>
      <c r="G85" s="31">
        <v>0</v>
      </c>
      <c r="H85" s="17" t="s">
        <v>51</v>
      </c>
      <c r="I85" s="31">
        <v>0</v>
      </c>
      <c r="J85" s="17" t="s">
        <v>51</v>
      </c>
      <c r="K85" s="31">
        <v>23700</v>
      </c>
      <c r="L85" s="17" t="s">
        <v>982</v>
      </c>
      <c r="M85" s="31">
        <v>0</v>
      </c>
      <c r="N85" s="17" t="s">
        <v>51</v>
      </c>
      <c r="O85" s="31">
        <f t="shared" si="2"/>
        <v>23700</v>
      </c>
      <c r="P85" s="31">
        <v>0</v>
      </c>
      <c r="Q85" s="31">
        <v>0</v>
      </c>
      <c r="R85" s="31">
        <v>0</v>
      </c>
      <c r="S85" s="31">
        <v>0</v>
      </c>
      <c r="T85" s="31">
        <v>0</v>
      </c>
      <c r="U85" s="31">
        <v>0</v>
      </c>
      <c r="V85" s="31">
        <v>0</v>
      </c>
      <c r="W85" s="17" t="s">
        <v>327</v>
      </c>
      <c r="X85" s="17" t="s">
        <v>51</v>
      </c>
      <c r="Y85" s="2" t="s">
        <v>51</v>
      </c>
      <c r="Z85" s="2" t="s">
        <v>51</v>
      </c>
      <c r="AA85" s="32"/>
      <c r="AB85" s="2" t="s">
        <v>51</v>
      </c>
    </row>
    <row r="86" spans="1:28" ht="30" customHeight="1" x14ac:dyDescent="0.3">
      <c r="A86" s="17" t="s">
        <v>1054</v>
      </c>
      <c r="B86" s="17" t="s">
        <v>325</v>
      </c>
      <c r="C86" s="17" t="s">
        <v>330</v>
      </c>
      <c r="D86" s="30" t="s">
        <v>187</v>
      </c>
      <c r="E86" s="31">
        <v>0</v>
      </c>
      <c r="F86" s="17" t="s">
        <v>51</v>
      </c>
      <c r="G86" s="31">
        <v>0</v>
      </c>
      <c r="H86" s="17" t="s">
        <v>51</v>
      </c>
      <c r="I86" s="31">
        <v>0</v>
      </c>
      <c r="J86" s="17" t="s">
        <v>51</v>
      </c>
      <c r="K86" s="31">
        <v>35900</v>
      </c>
      <c r="L86" s="17" t="s">
        <v>982</v>
      </c>
      <c r="M86" s="31">
        <v>0</v>
      </c>
      <c r="N86" s="17" t="s">
        <v>51</v>
      </c>
      <c r="O86" s="31">
        <f t="shared" si="2"/>
        <v>35900</v>
      </c>
      <c r="P86" s="31">
        <v>0</v>
      </c>
      <c r="Q86" s="31">
        <v>0</v>
      </c>
      <c r="R86" s="31">
        <v>0</v>
      </c>
      <c r="S86" s="31">
        <v>0</v>
      </c>
      <c r="T86" s="31">
        <v>0</v>
      </c>
      <c r="U86" s="31">
        <v>0</v>
      </c>
      <c r="V86" s="31">
        <v>0</v>
      </c>
      <c r="W86" s="17" t="s">
        <v>331</v>
      </c>
      <c r="X86" s="17" t="s">
        <v>51</v>
      </c>
      <c r="Y86" s="2" t="s">
        <v>51</v>
      </c>
      <c r="Z86" s="2" t="s">
        <v>51</v>
      </c>
      <c r="AA86" s="32"/>
      <c r="AB86" s="2" t="s">
        <v>51</v>
      </c>
    </row>
    <row r="87" spans="1:28" ht="30" customHeight="1" x14ac:dyDescent="0.3">
      <c r="A87" s="17" t="s">
        <v>1055</v>
      </c>
      <c r="B87" s="17" t="s">
        <v>325</v>
      </c>
      <c r="C87" s="17" t="s">
        <v>334</v>
      </c>
      <c r="D87" s="30" t="s">
        <v>187</v>
      </c>
      <c r="E87" s="31">
        <v>0</v>
      </c>
      <c r="F87" s="17" t="s">
        <v>51</v>
      </c>
      <c r="G87" s="31">
        <v>0</v>
      </c>
      <c r="H87" s="17" t="s">
        <v>51</v>
      </c>
      <c r="I87" s="31">
        <v>0</v>
      </c>
      <c r="J87" s="17" t="s">
        <v>51</v>
      </c>
      <c r="K87" s="31">
        <v>17300</v>
      </c>
      <c r="L87" s="17" t="s">
        <v>982</v>
      </c>
      <c r="M87" s="31">
        <v>0</v>
      </c>
      <c r="N87" s="17" t="s">
        <v>51</v>
      </c>
      <c r="O87" s="31">
        <f t="shared" si="2"/>
        <v>17300</v>
      </c>
      <c r="P87" s="31">
        <v>0</v>
      </c>
      <c r="Q87" s="31">
        <v>0</v>
      </c>
      <c r="R87" s="31">
        <v>0</v>
      </c>
      <c r="S87" s="31">
        <v>0</v>
      </c>
      <c r="T87" s="31">
        <v>0</v>
      </c>
      <c r="U87" s="31">
        <v>0</v>
      </c>
      <c r="V87" s="31">
        <v>0</v>
      </c>
      <c r="W87" s="17" t="s">
        <v>335</v>
      </c>
      <c r="X87" s="17" t="s">
        <v>51</v>
      </c>
      <c r="Y87" s="2" t="s">
        <v>51</v>
      </c>
      <c r="Z87" s="2" t="s">
        <v>51</v>
      </c>
      <c r="AA87" s="32"/>
      <c r="AB87" s="2" t="s">
        <v>51</v>
      </c>
    </row>
    <row r="88" spans="1:28" ht="30" customHeight="1" x14ac:dyDescent="0.3">
      <c r="A88" s="17" t="s">
        <v>1056</v>
      </c>
      <c r="B88" s="17" t="s">
        <v>325</v>
      </c>
      <c r="C88" s="17" t="s">
        <v>338</v>
      </c>
      <c r="D88" s="30" t="s">
        <v>187</v>
      </c>
      <c r="E88" s="31">
        <v>0</v>
      </c>
      <c r="F88" s="17" t="s">
        <v>51</v>
      </c>
      <c r="G88" s="31">
        <v>0</v>
      </c>
      <c r="H88" s="17" t="s">
        <v>51</v>
      </c>
      <c r="I88" s="31">
        <v>0</v>
      </c>
      <c r="J88" s="17" t="s">
        <v>51</v>
      </c>
      <c r="K88" s="31">
        <v>20100</v>
      </c>
      <c r="L88" s="17" t="s">
        <v>982</v>
      </c>
      <c r="M88" s="31">
        <v>0</v>
      </c>
      <c r="N88" s="17" t="s">
        <v>51</v>
      </c>
      <c r="O88" s="31">
        <f t="shared" si="2"/>
        <v>20100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17" t="s">
        <v>339</v>
      </c>
      <c r="X88" s="17" t="s">
        <v>51</v>
      </c>
      <c r="Y88" s="2" t="s">
        <v>51</v>
      </c>
      <c r="Z88" s="2" t="s">
        <v>51</v>
      </c>
      <c r="AA88" s="32"/>
      <c r="AB88" s="2" t="s">
        <v>51</v>
      </c>
    </row>
    <row r="89" spans="1:28" ht="30" customHeight="1" x14ac:dyDescent="0.3">
      <c r="A89" s="17" t="s">
        <v>1057</v>
      </c>
      <c r="B89" s="17" t="s">
        <v>325</v>
      </c>
      <c r="C89" s="17" t="s">
        <v>342</v>
      </c>
      <c r="D89" s="30" t="s">
        <v>187</v>
      </c>
      <c r="E89" s="31">
        <v>0</v>
      </c>
      <c r="F89" s="17" t="s">
        <v>51</v>
      </c>
      <c r="G89" s="31">
        <v>0</v>
      </c>
      <c r="H89" s="17" t="s">
        <v>51</v>
      </c>
      <c r="I89" s="31">
        <v>0</v>
      </c>
      <c r="J89" s="17" t="s">
        <v>51</v>
      </c>
      <c r="K89" s="31">
        <v>20100</v>
      </c>
      <c r="L89" s="17" t="s">
        <v>982</v>
      </c>
      <c r="M89" s="31">
        <v>0</v>
      </c>
      <c r="N89" s="17" t="s">
        <v>51</v>
      </c>
      <c r="O89" s="31">
        <f t="shared" si="2"/>
        <v>20100</v>
      </c>
      <c r="P89" s="31">
        <v>0</v>
      </c>
      <c r="Q89" s="31">
        <v>0</v>
      </c>
      <c r="R89" s="31">
        <v>0</v>
      </c>
      <c r="S89" s="31">
        <v>0</v>
      </c>
      <c r="T89" s="31">
        <v>0</v>
      </c>
      <c r="U89" s="31">
        <v>0</v>
      </c>
      <c r="V89" s="31">
        <v>0</v>
      </c>
      <c r="W89" s="17" t="s">
        <v>343</v>
      </c>
      <c r="X89" s="17" t="s">
        <v>51</v>
      </c>
      <c r="Y89" s="2" t="s">
        <v>51</v>
      </c>
      <c r="Z89" s="2" t="s">
        <v>51</v>
      </c>
      <c r="AA89" s="32"/>
      <c r="AB89" s="2" t="s">
        <v>51</v>
      </c>
    </row>
    <row r="90" spans="1:28" ht="30" customHeight="1" x14ac:dyDescent="0.3">
      <c r="A90" s="17" t="s">
        <v>1058</v>
      </c>
      <c r="B90" s="17" t="s">
        <v>325</v>
      </c>
      <c r="C90" s="17" t="s">
        <v>346</v>
      </c>
      <c r="D90" s="30" t="s">
        <v>187</v>
      </c>
      <c r="E90" s="31">
        <v>0</v>
      </c>
      <c r="F90" s="17" t="s">
        <v>51</v>
      </c>
      <c r="G90" s="31">
        <v>0</v>
      </c>
      <c r="H90" s="17" t="s">
        <v>51</v>
      </c>
      <c r="I90" s="31">
        <v>0</v>
      </c>
      <c r="J90" s="17" t="s">
        <v>51</v>
      </c>
      <c r="K90" s="31">
        <v>14300</v>
      </c>
      <c r="L90" s="17" t="s">
        <v>982</v>
      </c>
      <c r="M90" s="31">
        <v>0</v>
      </c>
      <c r="N90" s="17" t="s">
        <v>51</v>
      </c>
      <c r="O90" s="31">
        <f t="shared" si="2"/>
        <v>14300</v>
      </c>
      <c r="P90" s="31">
        <v>0</v>
      </c>
      <c r="Q90" s="31">
        <v>0</v>
      </c>
      <c r="R90" s="31">
        <v>0</v>
      </c>
      <c r="S90" s="31">
        <v>0</v>
      </c>
      <c r="T90" s="31">
        <v>0</v>
      </c>
      <c r="U90" s="31">
        <v>0</v>
      </c>
      <c r="V90" s="31">
        <v>0</v>
      </c>
      <c r="W90" s="17" t="s">
        <v>347</v>
      </c>
      <c r="X90" s="17" t="s">
        <v>51</v>
      </c>
      <c r="Y90" s="2" t="s">
        <v>51</v>
      </c>
      <c r="Z90" s="2" t="s">
        <v>51</v>
      </c>
      <c r="AA90" s="32"/>
      <c r="AB90" s="2" t="s">
        <v>51</v>
      </c>
    </row>
    <row r="91" spans="1:28" ht="30" customHeight="1" x14ac:dyDescent="0.3">
      <c r="A91" s="17" t="s">
        <v>1059</v>
      </c>
      <c r="B91" s="17" t="s">
        <v>350</v>
      </c>
      <c r="C91" s="17" t="s">
        <v>351</v>
      </c>
      <c r="D91" s="30" t="s">
        <v>187</v>
      </c>
      <c r="E91" s="31">
        <v>0</v>
      </c>
      <c r="F91" s="17" t="s">
        <v>51</v>
      </c>
      <c r="G91" s="31">
        <v>0</v>
      </c>
      <c r="H91" s="17" t="s">
        <v>51</v>
      </c>
      <c r="I91" s="31">
        <v>0</v>
      </c>
      <c r="J91" s="17" t="s">
        <v>51</v>
      </c>
      <c r="K91" s="31">
        <v>22800</v>
      </c>
      <c r="L91" s="17" t="s">
        <v>982</v>
      </c>
      <c r="M91" s="31">
        <v>0</v>
      </c>
      <c r="N91" s="17" t="s">
        <v>51</v>
      </c>
      <c r="O91" s="31">
        <f t="shared" si="2"/>
        <v>22800</v>
      </c>
      <c r="P91" s="31">
        <v>0</v>
      </c>
      <c r="Q91" s="31">
        <v>0</v>
      </c>
      <c r="R91" s="31">
        <v>0</v>
      </c>
      <c r="S91" s="31">
        <v>0</v>
      </c>
      <c r="T91" s="31">
        <v>0</v>
      </c>
      <c r="U91" s="31">
        <v>0</v>
      </c>
      <c r="V91" s="31">
        <v>0</v>
      </c>
      <c r="W91" s="17" t="s">
        <v>352</v>
      </c>
      <c r="X91" s="17" t="s">
        <v>51</v>
      </c>
      <c r="Y91" s="2" t="s">
        <v>51</v>
      </c>
      <c r="Z91" s="2" t="s">
        <v>51</v>
      </c>
      <c r="AA91" s="32"/>
      <c r="AB91" s="2" t="s">
        <v>51</v>
      </c>
    </row>
    <row r="92" spans="1:28" ht="30" customHeight="1" x14ac:dyDescent="0.3">
      <c r="A92" s="17" t="s">
        <v>1060</v>
      </c>
      <c r="B92" s="17" t="s">
        <v>350</v>
      </c>
      <c r="C92" s="17" t="s">
        <v>355</v>
      </c>
      <c r="D92" s="30" t="s">
        <v>187</v>
      </c>
      <c r="E92" s="31">
        <v>0</v>
      </c>
      <c r="F92" s="17" t="s">
        <v>51</v>
      </c>
      <c r="G92" s="31">
        <v>0</v>
      </c>
      <c r="H92" s="17" t="s">
        <v>51</v>
      </c>
      <c r="I92" s="31">
        <v>0</v>
      </c>
      <c r="J92" s="17" t="s">
        <v>51</v>
      </c>
      <c r="K92" s="31">
        <v>14200</v>
      </c>
      <c r="L92" s="17" t="s">
        <v>982</v>
      </c>
      <c r="M92" s="31">
        <v>0</v>
      </c>
      <c r="N92" s="17" t="s">
        <v>51</v>
      </c>
      <c r="O92" s="31">
        <f t="shared" si="2"/>
        <v>14200</v>
      </c>
      <c r="P92" s="31">
        <v>0</v>
      </c>
      <c r="Q92" s="31">
        <v>0</v>
      </c>
      <c r="R92" s="31">
        <v>0</v>
      </c>
      <c r="S92" s="31">
        <v>0</v>
      </c>
      <c r="T92" s="31">
        <v>0</v>
      </c>
      <c r="U92" s="31">
        <v>0</v>
      </c>
      <c r="V92" s="31">
        <v>0</v>
      </c>
      <c r="W92" s="17" t="s">
        <v>356</v>
      </c>
      <c r="X92" s="17" t="s">
        <v>51</v>
      </c>
      <c r="Y92" s="2" t="s">
        <v>51</v>
      </c>
      <c r="Z92" s="2" t="s">
        <v>51</v>
      </c>
      <c r="AA92" s="32"/>
      <c r="AB92" s="2" t="s">
        <v>51</v>
      </c>
    </row>
    <row r="93" spans="1:28" ht="30" customHeight="1" x14ac:dyDescent="0.3">
      <c r="A93" s="17" t="s">
        <v>1061</v>
      </c>
      <c r="B93" s="17" t="s">
        <v>350</v>
      </c>
      <c r="C93" s="17" t="s">
        <v>359</v>
      </c>
      <c r="D93" s="30" t="s">
        <v>187</v>
      </c>
      <c r="E93" s="31">
        <v>0</v>
      </c>
      <c r="F93" s="17" t="s">
        <v>51</v>
      </c>
      <c r="G93" s="31">
        <v>0</v>
      </c>
      <c r="H93" s="17" t="s">
        <v>51</v>
      </c>
      <c r="I93" s="31">
        <v>0</v>
      </c>
      <c r="J93" s="17" t="s">
        <v>51</v>
      </c>
      <c r="K93" s="31">
        <v>11300</v>
      </c>
      <c r="L93" s="17" t="s">
        <v>982</v>
      </c>
      <c r="M93" s="31">
        <v>0</v>
      </c>
      <c r="N93" s="17" t="s">
        <v>51</v>
      </c>
      <c r="O93" s="31">
        <f t="shared" si="2"/>
        <v>11300</v>
      </c>
      <c r="P93" s="31">
        <v>0</v>
      </c>
      <c r="Q93" s="31">
        <v>0</v>
      </c>
      <c r="R93" s="31">
        <v>0</v>
      </c>
      <c r="S93" s="31">
        <v>0</v>
      </c>
      <c r="T93" s="31">
        <v>0</v>
      </c>
      <c r="U93" s="31">
        <v>0</v>
      </c>
      <c r="V93" s="31">
        <v>0</v>
      </c>
      <c r="W93" s="17" t="s">
        <v>360</v>
      </c>
      <c r="X93" s="17" t="s">
        <v>51</v>
      </c>
      <c r="Y93" s="2" t="s">
        <v>51</v>
      </c>
      <c r="Z93" s="2" t="s">
        <v>51</v>
      </c>
      <c r="AA93" s="32"/>
      <c r="AB93" s="2" t="s">
        <v>51</v>
      </c>
    </row>
    <row r="94" spans="1:28" ht="30" customHeight="1" x14ac:dyDescent="0.3">
      <c r="A94" s="17" t="s">
        <v>1062</v>
      </c>
      <c r="B94" s="17" t="s">
        <v>363</v>
      </c>
      <c r="C94" s="17" t="s">
        <v>364</v>
      </c>
      <c r="D94" s="30" t="s">
        <v>187</v>
      </c>
      <c r="E94" s="31">
        <v>0</v>
      </c>
      <c r="F94" s="17" t="s">
        <v>51</v>
      </c>
      <c r="G94" s="31">
        <v>0</v>
      </c>
      <c r="H94" s="17" t="s">
        <v>51</v>
      </c>
      <c r="I94" s="31">
        <v>0</v>
      </c>
      <c r="J94" s="17" t="s">
        <v>51</v>
      </c>
      <c r="K94" s="31">
        <v>0</v>
      </c>
      <c r="L94" s="17" t="s">
        <v>51</v>
      </c>
      <c r="M94" s="31">
        <v>20090</v>
      </c>
      <c r="N94" s="17" t="s">
        <v>1063</v>
      </c>
      <c r="O94" s="31">
        <f t="shared" si="2"/>
        <v>20090</v>
      </c>
      <c r="P94" s="31">
        <v>0</v>
      </c>
      <c r="Q94" s="31">
        <v>0</v>
      </c>
      <c r="R94" s="31">
        <v>0</v>
      </c>
      <c r="S94" s="31">
        <v>0</v>
      </c>
      <c r="T94" s="31">
        <v>0</v>
      </c>
      <c r="U94" s="31">
        <v>0</v>
      </c>
      <c r="V94" s="31">
        <v>0</v>
      </c>
      <c r="W94" s="17" t="s">
        <v>365</v>
      </c>
      <c r="X94" s="17" t="s">
        <v>51</v>
      </c>
      <c r="Y94" s="2" t="s">
        <v>51</v>
      </c>
      <c r="Z94" s="2" t="s">
        <v>51</v>
      </c>
      <c r="AA94" s="32"/>
      <c r="AB94" s="2" t="s">
        <v>51</v>
      </c>
    </row>
    <row r="95" spans="1:28" ht="30" customHeight="1" x14ac:dyDescent="0.3">
      <c r="A95" s="17" t="s">
        <v>1064</v>
      </c>
      <c r="B95" s="17" t="s">
        <v>363</v>
      </c>
      <c r="C95" s="17" t="s">
        <v>368</v>
      </c>
      <c r="D95" s="30" t="s">
        <v>187</v>
      </c>
      <c r="E95" s="31">
        <v>0</v>
      </c>
      <c r="F95" s="17" t="s">
        <v>51</v>
      </c>
      <c r="G95" s="31">
        <v>0</v>
      </c>
      <c r="H95" s="17" t="s">
        <v>51</v>
      </c>
      <c r="I95" s="31">
        <v>0</v>
      </c>
      <c r="J95" s="17" t="s">
        <v>51</v>
      </c>
      <c r="K95" s="31">
        <v>0</v>
      </c>
      <c r="L95" s="17" t="s">
        <v>51</v>
      </c>
      <c r="M95" s="31">
        <v>11930</v>
      </c>
      <c r="N95" s="17" t="s">
        <v>1063</v>
      </c>
      <c r="O95" s="31">
        <f t="shared" si="2"/>
        <v>11930</v>
      </c>
      <c r="P95" s="31">
        <v>0</v>
      </c>
      <c r="Q95" s="31">
        <v>0</v>
      </c>
      <c r="R95" s="31">
        <v>0</v>
      </c>
      <c r="S95" s="31">
        <v>0</v>
      </c>
      <c r="T95" s="31">
        <v>0</v>
      </c>
      <c r="U95" s="31">
        <v>0</v>
      </c>
      <c r="V95" s="31">
        <v>0</v>
      </c>
      <c r="W95" s="17" t="s">
        <v>369</v>
      </c>
      <c r="X95" s="17" t="s">
        <v>51</v>
      </c>
      <c r="Y95" s="2" t="s">
        <v>51</v>
      </c>
      <c r="Z95" s="2" t="s">
        <v>51</v>
      </c>
      <c r="AA95" s="32"/>
      <c r="AB95" s="2" t="s">
        <v>51</v>
      </c>
    </row>
    <row r="96" spans="1:28" ht="30" customHeight="1" x14ac:dyDescent="0.3">
      <c r="A96" s="17" t="s">
        <v>1065</v>
      </c>
      <c r="B96" s="17" t="s">
        <v>363</v>
      </c>
      <c r="C96" s="17" t="s">
        <v>372</v>
      </c>
      <c r="D96" s="30" t="s">
        <v>187</v>
      </c>
      <c r="E96" s="31">
        <v>0</v>
      </c>
      <c r="F96" s="17" t="s">
        <v>51</v>
      </c>
      <c r="G96" s="31">
        <v>0</v>
      </c>
      <c r="H96" s="17" t="s">
        <v>51</v>
      </c>
      <c r="I96" s="31">
        <v>0</v>
      </c>
      <c r="J96" s="17" t="s">
        <v>51</v>
      </c>
      <c r="K96" s="31">
        <v>0</v>
      </c>
      <c r="L96" s="17" t="s">
        <v>51</v>
      </c>
      <c r="M96" s="31">
        <v>27950</v>
      </c>
      <c r="N96" s="17" t="s">
        <v>1063</v>
      </c>
      <c r="O96" s="31">
        <f t="shared" si="2"/>
        <v>27950</v>
      </c>
      <c r="P96" s="31">
        <v>0</v>
      </c>
      <c r="Q96" s="31">
        <v>0</v>
      </c>
      <c r="R96" s="31">
        <v>0</v>
      </c>
      <c r="S96" s="31">
        <v>0</v>
      </c>
      <c r="T96" s="31">
        <v>0</v>
      </c>
      <c r="U96" s="31">
        <v>0</v>
      </c>
      <c r="V96" s="31">
        <v>0</v>
      </c>
      <c r="W96" s="17" t="s">
        <v>373</v>
      </c>
      <c r="X96" s="17" t="s">
        <v>51</v>
      </c>
      <c r="Y96" s="2" t="s">
        <v>51</v>
      </c>
      <c r="Z96" s="2" t="s">
        <v>51</v>
      </c>
      <c r="AA96" s="32"/>
      <c r="AB96" s="2" t="s">
        <v>51</v>
      </c>
    </row>
    <row r="97" spans="1:28" ht="30" customHeight="1" x14ac:dyDescent="0.3">
      <c r="A97" s="17" t="s">
        <v>1066</v>
      </c>
      <c r="B97" s="17" t="s">
        <v>363</v>
      </c>
      <c r="C97" s="17" t="s">
        <v>376</v>
      </c>
      <c r="D97" s="30" t="s">
        <v>187</v>
      </c>
      <c r="E97" s="31">
        <v>0</v>
      </c>
      <c r="F97" s="17" t="s">
        <v>51</v>
      </c>
      <c r="G97" s="31">
        <v>0</v>
      </c>
      <c r="H97" s="17" t="s">
        <v>51</v>
      </c>
      <c r="I97" s="31">
        <v>0</v>
      </c>
      <c r="J97" s="17" t="s">
        <v>51</v>
      </c>
      <c r="K97" s="31">
        <v>0</v>
      </c>
      <c r="L97" s="17" t="s">
        <v>51</v>
      </c>
      <c r="M97" s="31">
        <v>12930</v>
      </c>
      <c r="N97" s="17" t="s">
        <v>1063</v>
      </c>
      <c r="O97" s="31">
        <f t="shared" si="2"/>
        <v>12930</v>
      </c>
      <c r="P97" s="31">
        <v>0</v>
      </c>
      <c r="Q97" s="31">
        <v>0</v>
      </c>
      <c r="R97" s="31">
        <v>0</v>
      </c>
      <c r="S97" s="31">
        <v>0</v>
      </c>
      <c r="T97" s="31">
        <v>0</v>
      </c>
      <c r="U97" s="31">
        <v>0</v>
      </c>
      <c r="V97" s="31">
        <v>0</v>
      </c>
      <c r="W97" s="17" t="s">
        <v>377</v>
      </c>
      <c r="X97" s="17" t="s">
        <v>51</v>
      </c>
      <c r="Y97" s="2" t="s">
        <v>51</v>
      </c>
      <c r="Z97" s="2" t="s">
        <v>51</v>
      </c>
      <c r="AA97" s="32"/>
      <c r="AB97" s="2" t="s">
        <v>51</v>
      </c>
    </row>
    <row r="98" spans="1:28" ht="30" customHeight="1" x14ac:dyDescent="0.3">
      <c r="A98" s="17" t="s">
        <v>1067</v>
      </c>
      <c r="B98" s="17" t="s">
        <v>380</v>
      </c>
      <c r="C98" s="17" t="s">
        <v>311</v>
      </c>
      <c r="D98" s="30" t="s">
        <v>187</v>
      </c>
      <c r="E98" s="31">
        <v>0</v>
      </c>
      <c r="F98" s="17" t="s">
        <v>51</v>
      </c>
      <c r="G98" s="31">
        <v>0</v>
      </c>
      <c r="H98" s="17" t="s">
        <v>51</v>
      </c>
      <c r="I98" s="31">
        <v>0</v>
      </c>
      <c r="J98" s="17" t="s">
        <v>51</v>
      </c>
      <c r="K98" s="31">
        <v>0</v>
      </c>
      <c r="L98" s="17" t="s">
        <v>51</v>
      </c>
      <c r="M98" s="31">
        <v>880</v>
      </c>
      <c r="N98" s="17" t="s">
        <v>1068</v>
      </c>
      <c r="O98" s="31">
        <f t="shared" si="2"/>
        <v>880</v>
      </c>
      <c r="P98" s="31">
        <v>0</v>
      </c>
      <c r="Q98" s="31">
        <v>0</v>
      </c>
      <c r="R98" s="31">
        <v>0</v>
      </c>
      <c r="S98" s="31">
        <v>0</v>
      </c>
      <c r="T98" s="31">
        <v>0</v>
      </c>
      <c r="U98" s="31">
        <v>0</v>
      </c>
      <c r="V98" s="31">
        <v>0</v>
      </c>
      <c r="W98" s="17" t="s">
        <v>381</v>
      </c>
      <c r="X98" s="17" t="s">
        <v>51</v>
      </c>
      <c r="Y98" s="2" t="s">
        <v>51</v>
      </c>
      <c r="Z98" s="2" t="s">
        <v>51</v>
      </c>
      <c r="AA98" s="32"/>
      <c r="AB98" s="2" t="s">
        <v>51</v>
      </c>
    </row>
    <row r="99" spans="1:28" ht="30" customHeight="1" x14ac:dyDescent="0.3">
      <c r="A99" s="17" t="s">
        <v>1069</v>
      </c>
      <c r="B99" s="17" t="s">
        <v>380</v>
      </c>
      <c r="C99" s="17" t="s">
        <v>315</v>
      </c>
      <c r="D99" s="30" t="s">
        <v>187</v>
      </c>
      <c r="E99" s="31">
        <v>0</v>
      </c>
      <c r="F99" s="17" t="s">
        <v>51</v>
      </c>
      <c r="G99" s="31">
        <v>0</v>
      </c>
      <c r="H99" s="17" t="s">
        <v>51</v>
      </c>
      <c r="I99" s="31">
        <v>0</v>
      </c>
      <c r="J99" s="17" t="s">
        <v>51</v>
      </c>
      <c r="K99" s="31">
        <v>0</v>
      </c>
      <c r="L99" s="17" t="s">
        <v>51</v>
      </c>
      <c r="M99" s="31">
        <v>638</v>
      </c>
      <c r="N99" s="17" t="s">
        <v>1068</v>
      </c>
      <c r="O99" s="31">
        <f t="shared" si="2"/>
        <v>638</v>
      </c>
      <c r="P99" s="31">
        <v>0</v>
      </c>
      <c r="Q99" s="31">
        <v>0</v>
      </c>
      <c r="R99" s="31">
        <v>0</v>
      </c>
      <c r="S99" s="31">
        <v>0</v>
      </c>
      <c r="T99" s="31">
        <v>0</v>
      </c>
      <c r="U99" s="31">
        <v>0</v>
      </c>
      <c r="V99" s="31">
        <v>0</v>
      </c>
      <c r="W99" s="17" t="s">
        <v>384</v>
      </c>
      <c r="X99" s="17" t="s">
        <v>51</v>
      </c>
      <c r="Y99" s="2" t="s">
        <v>51</v>
      </c>
      <c r="Z99" s="2" t="s">
        <v>51</v>
      </c>
      <c r="AA99" s="32"/>
      <c r="AB99" s="2" t="s">
        <v>51</v>
      </c>
    </row>
    <row r="100" spans="1:28" ht="30" customHeight="1" x14ac:dyDescent="0.3">
      <c r="A100" s="17" t="s">
        <v>1070</v>
      </c>
      <c r="B100" s="17" t="s">
        <v>380</v>
      </c>
      <c r="C100" s="17" t="s">
        <v>265</v>
      </c>
      <c r="D100" s="30" t="s">
        <v>187</v>
      </c>
      <c r="E100" s="31">
        <v>0</v>
      </c>
      <c r="F100" s="17" t="s">
        <v>51</v>
      </c>
      <c r="G100" s="31">
        <v>0</v>
      </c>
      <c r="H100" s="17" t="s">
        <v>51</v>
      </c>
      <c r="I100" s="31">
        <v>0</v>
      </c>
      <c r="J100" s="17" t="s">
        <v>51</v>
      </c>
      <c r="K100" s="31">
        <v>0</v>
      </c>
      <c r="L100" s="17" t="s">
        <v>51</v>
      </c>
      <c r="M100" s="31">
        <v>561</v>
      </c>
      <c r="N100" s="17" t="s">
        <v>1068</v>
      </c>
      <c r="O100" s="31">
        <f t="shared" si="2"/>
        <v>561</v>
      </c>
      <c r="P100" s="31">
        <v>0</v>
      </c>
      <c r="Q100" s="31">
        <v>0</v>
      </c>
      <c r="R100" s="31">
        <v>0</v>
      </c>
      <c r="S100" s="31">
        <v>0</v>
      </c>
      <c r="T100" s="31">
        <v>0</v>
      </c>
      <c r="U100" s="31">
        <v>0</v>
      </c>
      <c r="V100" s="31">
        <v>0</v>
      </c>
      <c r="W100" s="17" t="s">
        <v>387</v>
      </c>
      <c r="X100" s="17" t="s">
        <v>51</v>
      </c>
      <c r="Y100" s="2" t="s">
        <v>51</v>
      </c>
      <c r="Z100" s="2" t="s">
        <v>51</v>
      </c>
      <c r="AA100" s="32"/>
      <c r="AB100" s="2" t="s">
        <v>51</v>
      </c>
    </row>
    <row r="101" spans="1:28" ht="30" customHeight="1" x14ac:dyDescent="0.3">
      <c r="A101" s="17" t="s">
        <v>1071</v>
      </c>
      <c r="B101" s="17" t="s">
        <v>380</v>
      </c>
      <c r="C101" s="17" t="s">
        <v>273</v>
      </c>
      <c r="D101" s="30" t="s">
        <v>187</v>
      </c>
      <c r="E101" s="31">
        <v>0</v>
      </c>
      <c r="F101" s="17" t="s">
        <v>51</v>
      </c>
      <c r="G101" s="31">
        <v>0</v>
      </c>
      <c r="H101" s="17" t="s">
        <v>51</v>
      </c>
      <c r="I101" s="31">
        <v>0</v>
      </c>
      <c r="J101" s="17" t="s">
        <v>51</v>
      </c>
      <c r="K101" s="31">
        <v>0</v>
      </c>
      <c r="L101" s="17" t="s">
        <v>51</v>
      </c>
      <c r="M101" s="31">
        <v>506</v>
      </c>
      <c r="N101" s="17" t="s">
        <v>1068</v>
      </c>
      <c r="O101" s="31">
        <f t="shared" si="2"/>
        <v>506</v>
      </c>
      <c r="P101" s="31">
        <v>0</v>
      </c>
      <c r="Q101" s="31">
        <v>0</v>
      </c>
      <c r="R101" s="31">
        <v>0</v>
      </c>
      <c r="S101" s="31">
        <v>0</v>
      </c>
      <c r="T101" s="31">
        <v>0</v>
      </c>
      <c r="U101" s="31">
        <v>0</v>
      </c>
      <c r="V101" s="31">
        <v>0</v>
      </c>
      <c r="W101" s="17" t="s">
        <v>390</v>
      </c>
      <c r="X101" s="17" t="s">
        <v>51</v>
      </c>
      <c r="Y101" s="2" t="s">
        <v>51</v>
      </c>
      <c r="Z101" s="2" t="s">
        <v>51</v>
      </c>
      <c r="AA101" s="32"/>
      <c r="AB101" s="2" t="s">
        <v>51</v>
      </c>
    </row>
    <row r="102" spans="1:28" ht="30" customHeight="1" x14ac:dyDescent="0.3">
      <c r="A102" s="17" t="s">
        <v>1072</v>
      </c>
      <c r="B102" s="17" t="s">
        <v>393</v>
      </c>
      <c r="C102" s="17" t="s">
        <v>394</v>
      </c>
      <c r="D102" s="30" t="s">
        <v>93</v>
      </c>
      <c r="E102" s="31">
        <v>0</v>
      </c>
      <c r="F102" s="17" t="s">
        <v>51</v>
      </c>
      <c r="G102" s="31">
        <v>0</v>
      </c>
      <c r="H102" s="17" t="s">
        <v>51</v>
      </c>
      <c r="I102" s="31">
        <v>0</v>
      </c>
      <c r="J102" s="17" t="s">
        <v>51</v>
      </c>
      <c r="K102" s="31">
        <v>0</v>
      </c>
      <c r="L102" s="17" t="s">
        <v>51</v>
      </c>
      <c r="M102" s="31">
        <v>3740</v>
      </c>
      <c r="N102" s="17" t="s">
        <v>51</v>
      </c>
      <c r="O102" s="31">
        <f t="shared" si="2"/>
        <v>3740</v>
      </c>
      <c r="P102" s="31">
        <v>0</v>
      </c>
      <c r="Q102" s="31">
        <v>0</v>
      </c>
      <c r="R102" s="31">
        <v>0</v>
      </c>
      <c r="S102" s="31">
        <v>0</v>
      </c>
      <c r="T102" s="31">
        <v>0</v>
      </c>
      <c r="U102" s="31">
        <v>0</v>
      </c>
      <c r="V102" s="31">
        <v>0</v>
      </c>
      <c r="W102" s="17" t="s">
        <v>395</v>
      </c>
      <c r="X102" s="17" t="s">
        <v>51</v>
      </c>
      <c r="Y102" s="2" t="s">
        <v>51</v>
      </c>
      <c r="Z102" s="2" t="s">
        <v>51</v>
      </c>
      <c r="AA102" s="32"/>
      <c r="AB102" s="2" t="s">
        <v>51</v>
      </c>
    </row>
    <row r="103" spans="1:28" ht="30" customHeight="1" x14ac:dyDescent="0.3">
      <c r="A103" s="17" t="s">
        <v>1073</v>
      </c>
      <c r="B103" s="17" t="s">
        <v>398</v>
      </c>
      <c r="C103" s="17" t="s">
        <v>399</v>
      </c>
      <c r="D103" s="30" t="s">
        <v>187</v>
      </c>
      <c r="E103" s="31">
        <v>0</v>
      </c>
      <c r="F103" s="17" t="s">
        <v>51</v>
      </c>
      <c r="G103" s="31">
        <v>0</v>
      </c>
      <c r="H103" s="17" t="s">
        <v>51</v>
      </c>
      <c r="I103" s="31">
        <v>0</v>
      </c>
      <c r="J103" s="17" t="s">
        <v>51</v>
      </c>
      <c r="K103" s="31">
        <v>0</v>
      </c>
      <c r="L103" s="17" t="s">
        <v>51</v>
      </c>
      <c r="M103" s="31">
        <v>7125</v>
      </c>
      <c r="N103" s="17" t="s">
        <v>1074</v>
      </c>
      <c r="O103" s="31">
        <f t="shared" si="2"/>
        <v>7125</v>
      </c>
      <c r="P103" s="31">
        <v>3565</v>
      </c>
      <c r="Q103" s="31">
        <v>0</v>
      </c>
      <c r="R103" s="31">
        <v>0</v>
      </c>
      <c r="S103" s="31">
        <v>0</v>
      </c>
      <c r="T103" s="31">
        <v>0</v>
      </c>
      <c r="U103" s="31">
        <v>0</v>
      </c>
      <c r="V103" s="31">
        <v>0</v>
      </c>
      <c r="W103" s="17" t="s">
        <v>400</v>
      </c>
      <c r="X103" s="17" t="s">
        <v>51</v>
      </c>
      <c r="Y103" s="2" t="s">
        <v>51</v>
      </c>
      <c r="Z103" s="2" t="s">
        <v>51</v>
      </c>
      <c r="AA103" s="32"/>
      <c r="AB103" s="2" t="s">
        <v>51</v>
      </c>
    </row>
    <row r="104" spans="1:28" ht="30" customHeight="1" x14ac:dyDescent="0.3">
      <c r="A104" s="17" t="s">
        <v>1075</v>
      </c>
      <c r="B104" s="17" t="s">
        <v>403</v>
      </c>
      <c r="C104" s="17" t="s">
        <v>404</v>
      </c>
      <c r="D104" s="30" t="s">
        <v>74</v>
      </c>
      <c r="E104" s="31">
        <v>0</v>
      </c>
      <c r="F104" s="17" t="s">
        <v>51</v>
      </c>
      <c r="G104" s="31">
        <v>0</v>
      </c>
      <c r="H104" s="17" t="s">
        <v>51</v>
      </c>
      <c r="I104" s="31">
        <v>0</v>
      </c>
      <c r="J104" s="17" t="s">
        <v>51</v>
      </c>
      <c r="K104" s="31">
        <v>0</v>
      </c>
      <c r="L104" s="17" t="s">
        <v>51</v>
      </c>
      <c r="M104" s="31">
        <v>4828</v>
      </c>
      <c r="N104" s="17" t="s">
        <v>1076</v>
      </c>
      <c r="O104" s="31">
        <f t="shared" si="2"/>
        <v>4828</v>
      </c>
      <c r="P104" s="31">
        <v>0</v>
      </c>
      <c r="Q104" s="31">
        <v>0</v>
      </c>
      <c r="R104" s="31">
        <v>0</v>
      </c>
      <c r="S104" s="31">
        <v>0</v>
      </c>
      <c r="T104" s="31">
        <v>0</v>
      </c>
      <c r="U104" s="31">
        <v>0</v>
      </c>
      <c r="V104" s="31">
        <v>0</v>
      </c>
      <c r="W104" s="17" t="s">
        <v>405</v>
      </c>
      <c r="X104" s="17" t="s">
        <v>51</v>
      </c>
      <c r="Y104" s="2" t="s">
        <v>51</v>
      </c>
      <c r="Z104" s="2" t="s">
        <v>51</v>
      </c>
      <c r="AA104" s="32"/>
      <c r="AB104" s="2" t="s">
        <v>51</v>
      </c>
    </row>
    <row r="105" spans="1:28" ht="30" customHeight="1" x14ac:dyDescent="0.3">
      <c r="A105" s="17" t="s">
        <v>1077</v>
      </c>
      <c r="B105" s="17" t="s">
        <v>408</v>
      </c>
      <c r="C105" s="17" t="s">
        <v>106</v>
      </c>
      <c r="D105" s="30" t="s">
        <v>409</v>
      </c>
      <c r="E105" s="31">
        <v>0</v>
      </c>
      <c r="F105" s="17" t="s">
        <v>51</v>
      </c>
      <c r="G105" s="31">
        <v>0</v>
      </c>
      <c r="H105" s="17" t="s">
        <v>51</v>
      </c>
      <c r="I105" s="31">
        <v>0</v>
      </c>
      <c r="J105" s="17" t="s">
        <v>51</v>
      </c>
      <c r="K105" s="31">
        <v>0</v>
      </c>
      <c r="L105" s="17" t="s">
        <v>51</v>
      </c>
      <c r="M105" s="31">
        <v>0</v>
      </c>
      <c r="N105" s="17" t="s">
        <v>51</v>
      </c>
      <c r="O105" s="31">
        <v>0</v>
      </c>
      <c r="P105" s="31">
        <v>5404705</v>
      </c>
      <c r="Q105" s="31">
        <v>0</v>
      </c>
      <c r="R105" s="31">
        <v>0</v>
      </c>
      <c r="S105" s="31">
        <v>0</v>
      </c>
      <c r="T105" s="31">
        <v>0</v>
      </c>
      <c r="U105" s="31">
        <v>0</v>
      </c>
      <c r="V105" s="31">
        <v>0</v>
      </c>
      <c r="W105" s="17" t="s">
        <v>410</v>
      </c>
      <c r="X105" s="17" t="s">
        <v>51</v>
      </c>
      <c r="Y105" s="2" t="s">
        <v>51</v>
      </c>
      <c r="Z105" s="2" t="s">
        <v>51</v>
      </c>
      <c r="AA105" s="32"/>
      <c r="AB105" s="2" t="s">
        <v>51</v>
      </c>
    </row>
    <row r="106" spans="1:28" ht="30" customHeight="1" x14ac:dyDescent="0.3">
      <c r="A106" s="17" t="s">
        <v>1078</v>
      </c>
      <c r="B106" s="17" t="s">
        <v>413</v>
      </c>
      <c r="C106" s="17" t="s">
        <v>414</v>
      </c>
      <c r="D106" s="30" t="s">
        <v>187</v>
      </c>
      <c r="E106" s="31">
        <v>0</v>
      </c>
      <c r="F106" s="17" t="s">
        <v>51</v>
      </c>
      <c r="G106" s="31">
        <v>0</v>
      </c>
      <c r="H106" s="17" t="s">
        <v>51</v>
      </c>
      <c r="I106" s="31">
        <v>0</v>
      </c>
      <c r="J106" s="17" t="s">
        <v>51</v>
      </c>
      <c r="K106" s="31">
        <v>0</v>
      </c>
      <c r="L106" s="17" t="s">
        <v>51</v>
      </c>
      <c r="M106" s="31">
        <v>4690</v>
      </c>
      <c r="N106" s="17" t="s">
        <v>1079</v>
      </c>
      <c r="O106" s="31">
        <f>SMALL(E106:M106,COUNTIF(E106:M106,0)+1)</f>
        <v>4690</v>
      </c>
      <c r="P106" s="31">
        <v>22089</v>
      </c>
      <c r="Q106" s="31">
        <v>0</v>
      </c>
      <c r="R106" s="31">
        <v>0</v>
      </c>
      <c r="S106" s="31">
        <v>0</v>
      </c>
      <c r="T106" s="31">
        <v>0</v>
      </c>
      <c r="U106" s="31">
        <v>0</v>
      </c>
      <c r="V106" s="31">
        <v>0</v>
      </c>
      <c r="W106" s="17" t="s">
        <v>415</v>
      </c>
      <c r="X106" s="17" t="s">
        <v>51</v>
      </c>
      <c r="Y106" s="2" t="s">
        <v>51</v>
      </c>
      <c r="Z106" s="2" t="s">
        <v>51</v>
      </c>
      <c r="AA106" s="32"/>
      <c r="AB106" s="2" t="s">
        <v>51</v>
      </c>
    </row>
    <row r="107" spans="1:28" ht="30" customHeight="1" x14ac:dyDescent="0.3">
      <c r="A107" s="17" t="s">
        <v>1080</v>
      </c>
      <c r="B107" s="17" t="s">
        <v>418</v>
      </c>
      <c r="C107" s="17" t="s">
        <v>419</v>
      </c>
      <c r="D107" s="30" t="s">
        <v>187</v>
      </c>
      <c r="E107" s="31">
        <v>0</v>
      </c>
      <c r="F107" s="17" t="s">
        <v>51</v>
      </c>
      <c r="G107" s="31">
        <v>0</v>
      </c>
      <c r="H107" s="17" t="s">
        <v>51</v>
      </c>
      <c r="I107" s="31">
        <v>0</v>
      </c>
      <c r="J107" s="17" t="s">
        <v>51</v>
      </c>
      <c r="K107" s="31">
        <v>0</v>
      </c>
      <c r="L107" s="17" t="s">
        <v>51</v>
      </c>
      <c r="M107" s="31">
        <v>550</v>
      </c>
      <c r="N107" s="17" t="s">
        <v>1081</v>
      </c>
      <c r="O107" s="31">
        <f>SMALL(E107:M107,COUNTIF(E107:M107,0)+1)</f>
        <v>550</v>
      </c>
      <c r="P107" s="31">
        <v>22089</v>
      </c>
      <c r="Q107" s="31">
        <v>0</v>
      </c>
      <c r="R107" s="31">
        <v>0</v>
      </c>
      <c r="S107" s="31">
        <v>0</v>
      </c>
      <c r="T107" s="31">
        <v>0</v>
      </c>
      <c r="U107" s="31">
        <v>0</v>
      </c>
      <c r="V107" s="31">
        <v>0</v>
      </c>
      <c r="W107" s="17" t="s">
        <v>420</v>
      </c>
      <c r="X107" s="17" t="s">
        <v>51</v>
      </c>
      <c r="Y107" s="2" t="s">
        <v>51</v>
      </c>
      <c r="Z107" s="2" t="s">
        <v>51</v>
      </c>
      <c r="AA107" s="32"/>
      <c r="AB107" s="2" t="s">
        <v>51</v>
      </c>
    </row>
    <row r="108" spans="1:28" ht="30" customHeight="1" x14ac:dyDescent="0.3">
      <c r="A108" s="17" t="s">
        <v>1082</v>
      </c>
      <c r="B108" s="17" t="s">
        <v>423</v>
      </c>
      <c r="C108" s="17" t="s">
        <v>424</v>
      </c>
      <c r="D108" s="30" t="s">
        <v>93</v>
      </c>
      <c r="E108" s="31">
        <v>0</v>
      </c>
      <c r="F108" s="17" t="s">
        <v>51</v>
      </c>
      <c r="G108" s="31">
        <v>0</v>
      </c>
      <c r="H108" s="17" t="s">
        <v>51</v>
      </c>
      <c r="I108" s="31">
        <v>0</v>
      </c>
      <c r="J108" s="17" t="s">
        <v>51</v>
      </c>
      <c r="K108" s="31">
        <v>0</v>
      </c>
      <c r="L108" s="17" t="s">
        <v>51</v>
      </c>
      <c r="M108" s="31">
        <v>0</v>
      </c>
      <c r="N108" s="17" t="s">
        <v>51</v>
      </c>
      <c r="O108" s="31">
        <v>0</v>
      </c>
      <c r="P108" s="31">
        <v>386044</v>
      </c>
      <c r="Q108" s="31">
        <v>0</v>
      </c>
      <c r="R108" s="31">
        <v>0</v>
      </c>
      <c r="S108" s="31">
        <v>0</v>
      </c>
      <c r="T108" s="31">
        <v>0</v>
      </c>
      <c r="U108" s="31">
        <v>0</v>
      </c>
      <c r="V108" s="31">
        <v>0</v>
      </c>
      <c r="W108" s="17" t="s">
        <v>425</v>
      </c>
      <c r="X108" s="17" t="s">
        <v>51</v>
      </c>
      <c r="Y108" s="2" t="s">
        <v>51</v>
      </c>
      <c r="Z108" s="2" t="s">
        <v>51</v>
      </c>
      <c r="AA108" s="32"/>
      <c r="AB108" s="2" t="s">
        <v>51</v>
      </c>
    </row>
    <row r="109" spans="1:28" ht="30" customHeight="1" x14ac:dyDescent="0.3">
      <c r="A109" s="17" t="s">
        <v>1083</v>
      </c>
      <c r="B109" s="17" t="s">
        <v>423</v>
      </c>
      <c r="C109" s="17" t="s">
        <v>428</v>
      </c>
      <c r="D109" s="30" t="s">
        <v>93</v>
      </c>
      <c r="E109" s="31">
        <v>0</v>
      </c>
      <c r="F109" s="17" t="s">
        <v>51</v>
      </c>
      <c r="G109" s="31">
        <v>0</v>
      </c>
      <c r="H109" s="17" t="s">
        <v>51</v>
      </c>
      <c r="I109" s="31">
        <v>0</v>
      </c>
      <c r="J109" s="17" t="s">
        <v>51</v>
      </c>
      <c r="K109" s="31">
        <v>0</v>
      </c>
      <c r="L109" s="17" t="s">
        <v>51</v>
      </c>
      <c r="M109" s="31">
        <v>0</v>
      </c>
      <c r="N109" s="17" t="s">
        <v>51</v>
      </c>
      <c r="O109" s="31">
        <v>0</v>
      </c>
      <c r="P109" s="31">
        <v>215392</v>
      </c>
      <c r="Q109" s="31">
        <v>0</v>
      </c>
      <c r="R109" s="31">
        <v>0</v>
      </c>
      <c r="S109" s="31">
        <v>0</v>
      </c>
      <c r="T109" s="31">
        <v>0</v>
      </c>
      <c r="U109" s="31">
        <v>0</v>
      </c>
      <c r="V109" s="31">
        <v>0</v>
      </c>
      <c r="W109" s="17" t="s">
        <v>429</v>
      </c>
      <c r="X109" s="17" t="s">
        <v>51</v>
      </c>
      <c r="Y109" s="2" t="s">
        <v>51</v>
      </c>
      <c r="Z109" s="2" t="s">
        <v>51</v>
      </c>
      <c r="AA109" s="32"/>
      <c r="AB109" s="2" t="s">
        <v>51</v>
      </c>
    </row>
    <row r="110" spans="1:28" ht="30" customHeight="1" x14ac:dyDescent="0.3">
      <c r="A110" s="17" t="s">
        <v>1084</v>
      </c>
      <c r="B110" s="17" t="s">
        <v>423</v>
      </c>
      <c r="C110" s="17" t="s">
        <v>432</v>
      </c>
      <c r="D110" s="30" t="s">
        <v>93</v>
      </c>
      <c r="E110" s="31">
        <v>0</v>
      </c>
      <c r="F110" s="17" t="s">
        <v>51</v>
      </c>
      <c r="G110" s="31">
        <v>0</v>
      </c>
      <c r="H110" s="17" t="s">
        <v>51</v>
      </c>
      <c r="I110" s="31">
        <v>0</v>
      </c>
      <c r="J110" s="17" t="s">
        <v>51</v>
      </c>
      <c r="K110" s="31">
        <v>0</v>
      </c>
      <c r="L110" s="17" t="s">
        <v>51</v>
      </c>
      <c r="M110" s="31">
        <v>0</v>
      </c>
      <c r="N110" s="17" t="s">
        <v>51</v>
      </c>
      <c r="O110" s="31">
        <v>0</v>
      </c>
      <c r="P110" s="31">
        <v>171838</v>
      </c>
      <c r="Q110" s="31">
        <v>0</v>
      </c>
      <c r="R110" s="31">
        <v>0</v>
      </c>
      <c r="S110" s="31">
        <v>0</v>
      </c>
      <c r="T110" s="31">
        <v>0</v>
      </c>
      <c r="U110" s="31">
        <v>0</v>
      </c>
      <c r="V110" s="31">
        <v>0</v>
      </c>
      <c r="W110" s="17" t="s">
        <v>433</v>
      </c>
      <c r="X110" s="17" t="s">
        <v>51</v>
      </c>
      <c r="Y110" s="2" t="s">
        <v>51</v>
      </c>
      <c r="Z110" s="2" t="s">
        <v>51</v>
      </c>
      <c r="AA110" s="32"/>
      <c r="AB110" s="2" t="s">
        <v>51</v>
      </c>
    </row>
    <row r="111" spans="1:28" ht="30" customHeight="1" x14ac:dyDescent="0.3">
      <c r="A111" s="17" t="s">
        <v>1085</v>
      </c>
      <c r="B111" s="17" t="s">
        <v>423</v>
      </c>
      <c r="C111" s="17" t="s">
        <v>436</v>
      </c>
      <c r="D111" s="30" t="s">
        <v>93</v>
      </c>
      <c r="E111" s="31">
        <v>0</v>
      </c>
      <c r="F111" s="17" t="s">
        <v>51</v>
      </c>
      <c r="G111" s="31">
        <v>0</v>
      </c>
      <c r="H111" s="17" t="s">
        <v>51</v>
      </c>
      <c r="I111" s="31">
        <v>0</v>
      </c>
      <c r="J111" s="17" t="s">
        <v>51</v>
      </c>
      <c r="K111" s="31">
        <v>0</v>
      </c>
      <c r="L111" s="17" t="s">
        <v>51</v>
      </c>
      <c r="M111" s="31">
        <v>0</v>
      </c>
      <c r="N111" s="17" t="s">
        <v>51</v>
      </c>
      <c r="O111" s="31">
        <v>0</v>
      </c>
      <c r="P111" s="31">
        <v>127493</v>
      </c>
      <c r="Q111" s="31">
        <v>0</v>
      </c>
      <c r="R111" s="31">
        <v>0</v>
      </c>
      <c r="S111" s="31">
        <v>0</v>
      </c>
      <c r="T111" s="31">
        <v>0</v>
      </c>
      <c r="U111" s="31">
        <v>0</v>
      </c>
      <c r="V111" s="31">
        <v>0</v>
      </c>
      <c r="W111" s="17" t="s">
        <v>437</v>
      </c>
      <c r="X111" s="17" t="s">
        <v>51</v>
      </c>
      <c r="Y111" s="2" t="s">
        <v>51</v>
      </c>
      <c r="Z111" s="2" t="s">
        <v>51</v>
      </c>
      <c r="AA111" s="32"/>
      <c r="AB111" s="2" t="s">
        <v>51</v>
      </c>
    </row>
    <row r="112" spans="1:28" ht="30" customHeight="1" x14ac:dyDescent="0.3">
      <c r="A112" s="17" t="s">
        <v>1086</v>
      </c>
      <c r="B112" s="17" t="s">
        <v>440</v>
      </c>
      <c r="C112" s="17" t="s">
        <v>441</v>
      </c>
      <c r="D112" s="30" t="s">
        <v>442</v>
      </c>
      <c r="E112" s="31">
        <v>0</v>
      </c>
      <c r="F112" s="17" t="s">
        <v>51</v>
      </c>
      <c r="G112" s="31">
        <v>0</v>
      </c>
      <c r="H112" s="17" t="s">
        <v>51</v>
      </c>
      <c r="I112" s="31">
        <v>0</v>
      </c>
      <c r="J112" s="17" t="s">
        <v>51</v>
      </c>
      <c r="K112" s="31">
        <v>0</v>
      </c>
      <c r="L112" s="17" t="s">
        <v>51</v>
      </c>
      <c r="M112" s="31">
        <v>201017</v>
      </c>
      <c r="N112" s="17" t="s">
        <v>51</v>
      </c>
      <c r="O112" s="31">
        <f t="shared" ref="O112:O131" si="3">SMALL(E112:M112,COUNTIF(E112:M112,0)+1)</f>
        <v>201017</v>
      </c>
      <c r="P112" s="31">
        <v>0</v>
      </c>
      <c r="Q112" s="31">
        <v>0</v>
      </c>
      <c r="R112" s="31">
        <v>0</v>
      </c>
      <c r="S112" s="31">
        <v>0</v>
      </c>
      <c r="T112" s="31">
        <v>0</v>
      </c>
      <c r="U112" s="31">
        <v>0</v>
      </c>
      <c r="V112" s="31">
        <v>0</v>
      </c>
      <c r="W112" s="17" t="s">
        <v>443</v>
      </c>
      <c r="X112" s="17" t="s">
        <v>51</v>
      </c>
      <c r="Y112" s="2" t="s">
        <v>51</v>
      </c>
      <c r="Z112" s="2" t="s">
        <v>51</v>
      </c>
      <c r="AA112" s="32"/>
      <c r="AB112" s="2" t="s">
        <v>51</v>
      </c>
    </row>
    <row r="113" spans="1:28" ht="30" customHeight="1" x14ac:dyDescent="0.3">
      <c r="A113" s="17" t="s">
        <v>1087</v>
      </c>
      <c r="B113" s="17" t="s">
        <v>446</v>
      </c>
      <c r="C113" s="17" t="s">
        <v>447</v>
      </c>
      <c r="D113" s="30" t="s">
        <v>448</v>
      </c>
      <c r="E113" s="31">
        <v>0</v>
      </c>
      <c r="F113" s="17" t="s">
        <v>51</v>
      </c>
      <c r="G113" s="31">
        <v>0</v>
      </c>
      <c r="H113" s="17" t="s">
        <v>51</v>
      </c>
      <c r="I113" s="31">
        <v>0</v>
      </c>
      <c r="J113" s="17" t="s">
        <v>51</v>
      </c>
      <c r="K113" s="31">
        <v>0</v>
      </c>
      <c r="L113" s="17" t="s">
        <v>51</v>
      </c>
      <c r="M113" s="31">
        <v>25</v>
      </c>
      <c r="N113" s="17" t="s">
        <v>1088</v>
      </c>
      <c r="O113" s="31">
        <f t="shared" si="3"/>
        <v>25</v>
      </c>
      <c r="P113" s="31">
        <v>443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17" t="s">
        <v>449</v>
      </c>
      <c r="X113" s="17" t="s">
        <v>51</v>
      </c>
      <c r="Y113" s="2" t="s">
        <v>51</v>
      </c>
      <c r="Z113" s="2" t="s">
        <v>51</v>
      </c>
      <c r="AA113" s="32"/>
      <c r="AB113" s="2" t="s">
        <v>51</v>
      </c>
    </row>
    <row r="114" spans="1:28" ht="30" customHeight="1" x14ac:dyDescent="0.3">
      <c r="A114" s="17" t="s">
        <v>1089</v>
      </c>
      <c r="B114" s="17" t="s">
        <v>452</v>
      </c>
      <c r="C114" s="17" t="s">
        <v>453</v>
      </c>
      <c r="D114" s="30" t="s">
        <v>132</v>
      </c>
      <c r="E114" s="31">
        <v>0</v>
      </c>
      <c r="F114" s="17" t="s">
        <v>51</v>
      </c>
      <c r="G114" s="31">
        <v>0</v>
      </c>
      <c r="H114" s="17" t="s">
        <v>51</v>
      </c>
      <c r="I114" s="31">
        <v>0</v>
      </c>
      <c r="J114" s="17" t="s">
        <v>51</v>
      </c>
      <c r="K114" s="31">
        <v>0</v>
      </c>
      <c r="L114" s="17" t="s">
        <v>51</v>
      </c>
      <c r="M114" s="31">
        <v>120000</v>
      </c>
      <c r="N114" s="17" t="s">
        <v>1088</v>
      </c>
      <c r="O114" s="31">
        <f t="shared" si="3"/>
        <v>120000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17" t="s">
        <v>454</v>
      </c>
      <c r="X114" s="17" t="s">
        <v>51</v>
      </c>
      <c r="Y114" s="2" t="s">
        <v>51</v>
      </c>
      <c r="Z114" s="2" t="s">
        <v>51</v>
      </c>
      <c r="AA114" s="32"/>
      <c r="AB114" s="2" t="s">
        <v>51</v>
      </c>
    </row>
    <row r="115" spans="1:28" ht="30" customHeight="1" x14ac:dyDescent="0.3">
      <c r="A115" s="17" t="s">
        <v>1090</v>
      </c>
      <c r="B115" s="17" t="s">
        <v>457</v>
      </c>
      <c r="C115" s="17" t="s">
        <v>251</v>
      </c>
      <c r="D115" s="30" t="s">
        <v>57</v>
      </c>
      <c r="E115" s="31">
        <v>0</v>
      </c>
      <c r="F115" s="17" t="s">
        <v>51</v>
      </c>
      <c r="G115" s="31">
        <v>0</v>
      </c>
      <c r="H115" s="17" t="s">
        <v>51</v>
      </c>
      <c r="I115" s="31">
        <v>0</v>
      </c>
      <c r="J115" s="17" t="s">
        <v>51</v>
      </c>
      <c r="K115" s="31">
        <v>0</v>
      </c>
      <c r="L115" s="17" t="s">
        <v>51</v>
      </c>
      <c r="M115" s="31">
        <v>6000</v>
      </c>
      <c r="N115" s="17" t="s">
        <v>1045</v>
      </c>
      <c r="O115" s="31">
        <f t="shared" si="3"/>
        <v>6000</v>
      </c>
      <c r="P115" s="31">
        <v>4008</v>
      </c>
      <c r="Q115" s="31">
        <v>0</v>
      </c>
      <c r="R115" s="31">
        <v>0</v>
      </c>
      <c r="S115" s="31">
        <v>0</v>
      </c>
      <c r="T115" s="31">
        <v>0</v>
      </c>
      <c r="U115" s="31">
        <v>0</v>
      </c>
      <c r="V115" s="31">
        <v>0</v>
      </c>
      <c r="W115" s="17" t="s">
        <v>458</v>
      </c>
      <c r="X115" s="17" t="s">
        <v>51</v>
      </c>
      <c r="Y115" s="2" t="s">
        <v>51</v>
      </c>
      <c r="Z115" s="2" t="s">
        <v>51</v>
      </c>
      <c r="AA115" s="32"/>
      <c r="AB115" s="2" t="s">
        <v>51</v>
      </c>
    </row>
    <row r="116" spans="1:28" ht="30" customHeight="1" x14ac:dyDescent="0.3">
      <c r="A116" s="17" t="s">
        <v>1091</v>
      </c>
      <c r="B116" s="17" t="s">
        <v>461</v>
      </c>
      <c r="C116" s="17" t="s">
        <v>251</v>
      </c>
      <c r="D116" s="30" t="s">
        <v>187</v>
      </c>
      <c r="E116" s="31">
        <v>0</v>
      </c>
      <c r="F116" s="17" t="s">
        <v>51</v>
      </c>
      <c r="G116" s="31">
        <v>0</v>
      </c>
      <c r="H116" s="17" t="s">
        <v>51</v>
      </c>
      <c r="I116" s="31">
        <v>0</v>
      </c>
      <c r="J116" s="17" t="s">
        <v>51</v>
      </c>
      <c r="K116" s="31">
        <v>0</v>
      </c>
      <c r="L116" s="17" t="s">
        <v>51</v>
      </c>
      <c r="M116" s="31">
        <v>25000</v>
      </c>
      <c r="N116" s="17" t="s">
        <v>1027</v>
      </c>
      <c r="O116" s="31">
        <f t="shared" si="3"/>
        <v>25000</v>
      </c>
      <c r="P116" s="31">
        <v>24907</v>
      </c>
      <c r="Q116" s="31">
        <v>0</v>
      </c>
      <c r="R116" s="31">
        <v>0</v>
      </c>
      <c r="S116" s="31">
        <v>0</v>
      </c>
      <c r="T116" s="31">
        <v>0</v>
      </c>
      <c r="U116" s="31">
        <v>0</v>
      </c>
      <c r="V116" s="31">
        <v>0</v>
      </c>
      <c r="W116" s="17" t="s">
        <v>462</v>
      </c>
      <c r="X116" s="17" t="s">
        <v>51</v>
      </c>
      <c r="Y116" s="2" t="s">
        <v>51</v>
      </c>
      <c r="Z116" s="2" t="s">
        <v>51</v>
      </c>
      <c r="AA116" s="32"/>
      <c r="AB116" s="2" t="s">
        <v>51</v>
      </c>
    </row>
    <row r="117" spans="1:28" ht="30" customHeight="1" x14ac:dyDescent="0.3">
      <c r="A117" s="17" t="s">
        <v>1092</v>
      </c>
      <c r="B117" s="17" t="s">
        <v>465</v>
      </c>
      <c r="C117" s="17" t="s">
        <v>251</v>
      </c>
      <c r="D117" s="30" t="s">
        <v>187</v>
      </c>
      <c r="E117" s="31">
        <v>0</v>
      </c>
      <c r="F117" s="17" t="s">
        <v>51</v>
      </c>
      <c r="G117" s="31">
        <v>0</v>
      </c>
      <c r="H117" s="17" t="s">
        <v>51</v>
      </c>
      <c r="I117" s="31">
        <v>0</v>
      </c>
      <c r="J117" s="17" t="s">
        <v>51</v>
      </c>
      <c r="K117" s="31">
        <v>0</v>
      </c>
      <c r="L117" s="17" t="s">
        <v>51</v>
      </c>
      <c r="M117" s="31">
        <v>6000</v>
      </c>
      <c r="N117" s="17" t="s">
        <v>1045</v>
      </c>
      <c r="O117" s="31">
        <f t="shared" si="3"/>
        <v>6000</v>
      </c>
      <c r="P117" s="31">
        <v>0</v>
      </c>
      <c r="Q117" s="31">
        <v>0</v>
      </c>
      <c r="R117" s="31">
        <v>0</v>
      </c>
      <c r="S117" s="31">
        <v>0</v>
      </c>
      <c r="T117" s="31">
        <v>0</v>
      </c>
      <c r="U117" s="31">
        <v>0</v>
      </c>
      <c r="V117" s="31">
        <v>0</v>
      </c>
      <c r="W117" s="17" t="s">
        <v>466</v>
      </c>
      <c r="X117" s="17" t="s">
        <v>51</v>
      </c>
      <c r="Y117" s="2" t="s">
        <v>51</v>
      </c>
      <c r="Z117" s="2" t="s">
        <v>51</v>
      </c>
      <c r="AA117" s="32"/>
      <c r="AB117" s="2" t="s">
        <v>51</v>
      </c>
    </row>
    <row r="118" spans="1:28" ht="30" customHeight="1" x14ac:dyDescent="0.3">
      <c r="A118" s="17" t="s">
        <v>1093</v>
      </c>
      <c r="B118" s="17" t="s">
        <v>469</v>
      </c>
      <c r="C118" s="17" t="s">
        <v>251</v>
      </c>
      <c r="D118" s="30" t="s">
        <v>187</v>
      </c>
      <c r="E118" s="31">
        <v>0</v>
      </c>
      <c r="F118" s="17" t="s">
        <v>51</v>
      </c>
      <c r="G118" s="31">
        <v>0</v>
      </c>
      <c r="H118" s="17" t="s">
        <v>51</v>
      </c>
      <c r="I118" s="31">
        <v>0</v>
      </c>
      <c r="J118" s="17" t="s">
        <v>51</v>
      </c>
      <c r="K118" s="31">
        <v>0</v>
      </c>
      <c r="L118" s="17" t="s">
        <v>51</v>
      </c>
      <c r="M118" s="31">
        <v>540</v>
      </c>
      <c r="N118" s="17" t="s">
        <v>1094</v>
      </c>
      <c r="O118" s="31">
        <f t="shared" si="3"/>
        <v>540</v>
      </c>
      <c r="P118" s="31">
        <v>0</v>
      </c>
      <c r="Q118" s="31">
        <v>0</v>
      </c>
      <c r="R118" s="31">
        <v>0</v>
      </c>
      <c r="S118" s="31">
        <v>0</v>
      </c>
      <c r="T118" s="31">
        <v>0</v>
      </c>
      <c r="U118" s="31">
        <v>0</v>
      </c>
      <c r="V118" s="31">
        <v>0</v>
      </c>
      <c r="W118" s="17" t="s">
        <v>470</v>
      </c>
      <c r="X118" s="17" t="s">
        <v>51</v>
      </c>
      <c r="Y118" s="2" t="s">
        <v>51</v>
      </c>
      <c r="Z118" s="2" t="s">
        <v>51</v>
      </c>
      <c r="AA118" s="32"/>
      <c r="AB118" s="2" t="s">
        <v>51</v>
      </c>
    </row>
    <row r="119" spans="1:28" ht="30" customHeight="1" x14ac:dyDescent="0.3">
      <c r="A119" s="17" t="s">
        <v>1095</v>
      </c>
      <c r="B119" s="17" t="s">
        <v>473</v>
      </c>
      <c r="C119" s="17" t="s">
        <v>474</v>
      </c>
      <c r="D119" s="30" t="s">
        <v>187</v>
      </c>
      <c r="E119" s="31">
        <v>0</v>
      </c>
      <c r="F119" s="17" t="s">
        <v>51</v>
      </c>
      <c r="G119" s="31">
        <v>0</v>
      </c>
      <c r="H119" s="17" t="s">
        <v>51</v>
      </c>
      <c r="I119" s="31">
        <v>0</v>
      </c>
      <c r="J119" s="17" t="s">
        <v>51</v>
      </c>
      <c r="K119" s="31">
        <v>0</v>
      </c>
      <c r="L119" s="17" t="s">
        <v>51</v>
      </c>
      <c r="M119" s="31">
        <v>2610</v>
      </c>
      <c r="N119" s="17" t="s">
        <v>1063</v>
      </c>
      <c r="O119" s="31">
        <f t="shared" si="3"/>
        <v>2610</v>
      </c>
      <c r="P119" s="31">
        <v>0</v>
      </c>
      <c r="Q119" s="31">
        <v>0</v>
      </c>
      <c r="R119" s="31">
        <v>0</v>
      </c>
      <c r="S119" s="31">
        <v>0</v>
      </c>
      <c r="T119" s="31">
        <v>0</v>
      </c>
      <c r="U119" s="31">
        <v>0</v>
      </c>
      <c r="V119" s="31">
        <v>0</v>
      </c>
      <c r="W119" s="17" t="s">
        <v>475</v>
      </c>
      <c r="X119" s="17" t="s">
        <v>51</v>
      </c>
      <c r="Y119" s="2" t="s">
        <v>51</v>
      </c>
      <c r="Z119" s="2" t="s">
        <v>51</v>
      </c>
      <c r="AA119" s="32"/>
      <c r="AB119" s="2" t="s">
        <v>51</v>
      </c>
    </row>
    <row r="120" spans="1:28" ht="30" customHeight="1" x14ac:dyDescent="0.3">
      <c r="A120" s="17" t="s">
        <v>1096</v>
      </c>
      <c r="B120" s="17" t="s">
        <v>478</v>
      </c>
      <c r="C120" s="17" t="s">
        <v>479</v>
      </c>
      <c r="D120" s="30" t="s">
        <v>187</v>
      </c>
      <c r="E120" s="31">
        <v>0</v>
      </c>
      <c r="F120" s="17" t="s">
        <v>51</v>
      </c>
      <c r="G120" s="31">
        <v>0</v>
      </c>
      <c r="H120" s="17" t="s">
        <v>51</v>
      </c>
      <c r="I120" s="31">
        <v>0</v>
      </c>
      <c r="J120" s="17" t="s">
        <v>51</v>
      </c>
      <c r="K120" s="31">
        <v>0</v>
      </c>
      <c r="L120" s="17" t="s">
        <v>51</v>
      </c>
      <c r="M120" s="31">
        <v>710</v>
      </c>
      <c r="N120" s="17" t="s">
        <v>1094</v>
      </c>
      <c r="O120" s="31">
        <f t="shared" si="3"/>
        <v>710</v>
      </c>
      <c r="P120" s="31">
        <v>0</v>
      </c>
      <c r="Q120" s="31">
        <v>0</v>
      </c>
      <c r="R120" s="31">
        <v>0</v>
      </c>
      <c r="S120" s="31">
        <v>0</v>
      </c>
      <c r="T120" s="31">
        <v>0</v>
      </c>
      <c r="U120" s="31">
        <v>0</v>
      </c>
      <c r="V120" s="31">
        <v>0</v>
      </c>
      <c r="W120" s="17" t="s">
        <v>480</v>
      </c>
      <c r="X120" s="17" t="s">
        <v>51</v>
      </c>
      <c r="Y120" s="2" t="s">
        <v>51</v>
      </c>
      <c r="Z120" s="2" t="s">
        <v>51</v>
      </c>
      <c r="AA120" s="32"/>
      <c r="AB120" s="2" t="s">
        <v>51</v>
      </c>
    </row>
    <row r="121" spans="1:28" ht="30" customHeight="1" x14ac:dyDescent="0.3">
      <c r="A121" s="17" t="s">
        <v>1097</v>
      </c>
      <c r="B121" s="17" t="s">
        <v>483</v>
      </c>
      <c r="C121" s="17" t="s">
        <v>484</v>
      </c>
      <c r="D121" s="30" t="s">
        <v>187</v>
      </c>
      <c r="E121" s="31">
        <v>0</v>
      </c>
      <c r="F121" s="17" t="s">
        <v>51</v>
      </c>
      <c r="G121" s="31">
        <v>0</v>
      </c>
      <c r="H121" s="17" t="s">
        <v>51</v>
      </c>
      <c r="I121" s="31">
        <v>0</v>
      </c>
      <c r="J121" s="17" t="s">
        <v>51</v>
      </c>
      <c r="K121" s="31">
        <v>0</v>
      </c>
      <c r="L121" s="17" t="s">
        <v>51</v>
      </c>
      <c r="M121" s="31">
        <v>25000</v>
      </c>
      <c r="N121" s="17" t="s">
        <v>1027</v>
      </c>
      <c r="O121" s="31">
        <f t="shared" si="3"/>
        <v>25000</v>
      </c>
      <c r="P121" s="31">
        <v>102119</v>
      </c>
      <c r="Q121" s="31">
        <v>0</v>
      </c>
      <c r="R121" s="31">
        <v>0</v>
      </c>
      <c r="S121" s="31">
        <v>0</v>
      </c>
      <c r="T121" s="31">
        <v>0</v>
      </c>
      <c r="U121" s="31">
        <v>0</v>
      </c>
      <c r="V121" s="31">
        <v>0</v>
      </c>
      <c r="W121" s="17" t="s">
        <v>485</v>
      </c>
      <c r="X121" s="17" t="s">
        <v>51</v>
      </c>
      <c r="Y121" s="2" t="s">
        <v>51</v>
      </c>
      <c r="Z121" s="2" t="s">
        <v>51</v>
      </c>
      <c r="AA121" s="32"/>
      <c r="AB121" s="2" t="s">
        <v>51</v>
      </c>
    </row>
    <row r="122" spans="1:28" ht="30" customHeight="1" x14ac:dyDescent="0.3">
      <c r="A122" s="17" t="s">
        <v>1098</v>
      </c>
      <c r="B122" s="17" t="s">
        <v>488</v>
      </c>
      <c r="C122" s="17" t="s">
        <v>489</v>
      </c>
      <c r="D122" s="30" t="s">
        <v>74</v>
      </c>
      <c r="E122" s="31">
        <v>0</v>
      </c>
      <c r="F122" s="17" t="s">
        <v>51</v>
      </c>
      <c r="G122" s="31">
        <v>0</v>
      </c>
      <c r="H122" s="17" t="s">
        <v>51</v>
      </c>
      <c r="I122" s="31">
        <v>0</v>
      </c>
      <c r="J122" s="17" t="s">
        <v>51</v>
      </c>
      <c r="K122" s="31">
        <v>0</v>
      </c>
      <c r="L122" s="17" t="s">
        <v>51</v>
      </c>
      <c r="M122" s="31">
        <v>3370</v>
      </c>
      <c r="N122" s="17" t="s">
        <v>1099</v>
      </c>
      <c r="O122" s="31">
        <f t="shared" si="3"/>
        <v>3370</v>
      </c>
      <c r="P122" s="31">
        <v>22088</v>
      </c>
      <c r="Q122" s="31">
        <v>0</v>
      </c>
      <c r="R122" s="31">
        <v>0</v>
      </c>
      <c r="S122" s="31">
        <v>0</v>
      </c>
      <c r="T122" s="31">
        <v>0</v>
      </c>
      <c r="U122" s="31">
        <v>0</v>
      </c>
      <c r="V122" s="31">
        <v>0</v>
      </c>
      <c r="W122" s="17" t="s">
        <v>490</v>
      </c>
      <c r="X122" s="17" t="s">
        <v>51</v>
      </c>
      <c r="Y122" s="2" t="s">
        <v>51</v>
      </c>
      <c r="Z122" s="2" t="s">
        <v>51</v>
      </c>
      <c r="AA122" s="32"/>
      <c r="AB122" s="2" t="s">
        <v>51</v>
      </c>
    </row>
    <row r="123" spans="1:28" ht="30" customHeight="1" x14ac:dyDescent="0.3">
      <c r="A123" s="17" t="s">
        <v>1100</v>
      </c>
      <c r="B123" s="17" t="s">
        <v>493</v>
      </c>
      <c r="C123" s="17" t="s">
        <v>489</v>
      </c>
      <c r="D123" s="30" t="s">
        <v>187</v>
      </c>
      <c r="E123" s="31">
        <v>0</v>
      </c>
      <c r="F123" s="17" t="s">
        <v>51</v>
      </c>
      <c r="G123" s="31">
        <v>0</v>
      </c>
      <c r="H123" s="17" t="s">
        <v>51</v>
      </c>
      <c r="I123" s="31">
        <v>0</v>
      </c>
      <c r="J123" s="17" t="s">
        <v>51</v>
      </c>
      <c r="K123" s="31">
        <v>0</v>
      </c>
      <c r="L123" s="17" t="s">
        <v>51</v>
      </c>
      <c r="M123" s="31">
        <v>161</v>
      </c>
      <c r="N123" s="17" t="s">
        <v>989</v>
      </c>
      <c r="O123" s="31">
        <f t="shared" si="3"/>
        <v>161</v>
      </c>
      <c r="P123" s="31">
        <v>0</v>
      </c>
      <c r="Q123" s="31">
        <v>0</v>
      </c>
      <c r="R123" s="31">
        <v>0</v>
      </c>
      <c r="S123" s="31">
        <v>0</v>
      </c>
      <c r="T123" s="31">
        <v>0</v>
      </c>
      <c r="U123" s="31">
        <v>0</v>
      </c>
      <c r="V123" s="31">
        <v>0</v>
      </c>
      <c r="W123" s="17" t="s">
        <v>494</v>
      </c>
      <c r="X123" s="17" t="s">
        <v>51</v>
      </c>
      <c r="Y123" s="2" t="s">
        <v>51</v>
      </c>
      <c r="Z123" s="2" t="s">
        <v>51</v>
      </c>
      <c r="AA123" s="32"/>
      <c r="AB123" s="2" t="s">
        <v>51</v>
      </c>
    </row>
    <row r="124" spans="1:28" ht="30" customHeight="1" x14ac:dyDescent="0.3">
      <c r="A124" s="17" t="s">
        <v>1101</v>
      </c>
      <c r="B124" s="17" t="s">
        <v>497</v>
      </c>
      <c r="C124" s="17" t="s">
        <v>489</v>
      </c>
      <c r="D124" s="30" t="s">
        <v>187</v>
      </c>
      <c r="E124" s="31">
        <v>0</v>
      </c>
      <c r="F124" s="17" t="s">
        <v>51</v>
      </c>
      <c r="G124" s="31">
        <v>0</v>
      </c>
      <c r="H124" s="17" t="s">
        <v>51</v>
      </c>
      <c r="I124" s="31">
        <v>0</v>
      </c>
      <c r="J124" s="17" t="s">
        <v>51</v>
      </c>
      <c r="K124" s="31">
        <v>0</v>
      </c>
      <c r="L124" s="17" t="s">
        <v>51</v>
      </c>
      <c r="M124" s="31">
        <v>98</v>
      </c>
      <c r="N124" s="17" t="s">
        <v>989</v>
      </c>
      <c r="O124" s="31">
        <f t="shared" si="3"/>
        <v>98</v>
      </c>
      <c r="P124" s="31">
        <v>0</v>
      </c>
      <c r="Q124" s="31">
        <v>0</v>
      </c>
      <c r="R124" s="31">
        <v>0</v>
      </c>
      <c r="S124" s="31">
        <v>0</v>
      </c>
      <c r="T124" s="31">
        <v>0</v>
      </c>
      <c r="U124" s="31">
        <v>0</v>
      </c>
      <c r="V124" s="31">
        <v>0</v>
      </c>
      <c r="W124" s="17" t="s">
        <v>498</v>
      </c>
      <c r="X124" s="17" t="s">
        <v>51</v>
      </c>
      <c r="Y124" s="2" t="s">
        <v>51</v>
      </c>
      <c r="Z124" s="2" t="s">
        <v>51</v>
      </c>
      <c r="AA124" s="32"/>
      <c r="AB124" s="2" t="s">
        <v>51</v>
      </c>
    </row>
    <row r="125" spans="1:28" ht="30" customHeight="1" x14ac:dyDescent="0.3">
      <c r="A125" s="17" t="s">
        <v>1102</v>
      </c>
      <c r="B125" s="17" t="s">
        <v>501</v>
      </c>
      <c r="C125" s="17" t="s">
        <v>502</v>
      </c>
      <c r="D125" s="30" t="s">
        <v>503</v>
      </c>
      <c r="E125" s="31">
        <v>0</v>
      </c>
      <c r="F125" s="17" t="s">
        <v>51</v>
      </c>
      <c r="G125" s="31">
        <v>0</v>
      </c>
      <c r="H125" s="17" t="s">
        <v>51</v>
      </c>
      <c r="I125" s="31">
        <v>0</v>
      </c>
      <c r="J125" s="17" t="s">
        <v>51</v>
      </c>
      <c r="K125" s="31">
        <v>0</v>
      </c>
      <c r="L125" s="17" t="s">
        <v>51</v>
      </c>
      <c r="M125" s="31">
        <v>33852</v>
      </c>
      <c r="N125" s="17" t="s">
        <v>51</v>
      </c>
      <c r="O125" s="31">
        <f t="shared" si="3"/>
        <v>33852</v>
      </c>
      <c r="P125" s="31">
        <v>0</v>
      </c>
      <c r="Q125" s="31">
        <v>0</v>
      </c>
      <c r="R125" s="31">
        <v>0</v>
      </c>
      <c r="S125" s="31">
        <v>0</v>
      </c>
      <c r="T125" s="31">
        <v>0</v>
      </c>
      <c r="U125" s="31">
        <v>0</v>
      </c>
      <c r="V125" s="31">
        <v>0</v>
      </c>
      <c r="W125" s="17" t="s">
        <v>504</v>
      </c>
      <c r="X125" s="17" t="s">
        <v>1103</v>
      </c>
      <c r="Y125" s="2" t="s">
        <v>51</v>
      </c>
      <c r="Z125" s="2" t="s">
        <v>51</v>
      </c>
      <c r="AA125" s="32"/>
      <c r="AB125" s="2" t="s">
        <v>51</v>
      </c>
    </row>
    <row r="126" spans="1:28" ht="30" customHeight="1" x14ac:dyDescent="0.3">
      <c r="A126" s="17" t="s">
        <v>1104</v>
      </c>
      <c r="B126" s="17" t="s">
        <v>507</v>
      </c>
      <c r="C126" s="17" t="s">
        <v>508</v>
      </c>
      <c r="D126" s="30" t="s">
        <v>503</v>
      </c>
      <c r="E126" s="31">
        <v>0</v>
      </c>
      <c r="F126" s="17" t="s">
        <v>51</v>
      </c>
      <c r="G126" s="31">
        <v>0</v>
      </c>
      <c r="H126" s="17" t="s">
        <v>51</v>
      </c>
      <c r="I126" s="31">
        <v>0</v>
      </c>
      <c r="J126" s="17" t="s">
        <v>51</v>
      </c>
      <c r="K126" s="31">
        <v>0</v>
      </c>
      <c r="L126" s="17" t="s">
        <v>51</v>
      </c>
      <c r="M126" s="31">
        <v>874275</v>
      </c>
      <c r="N126" s="17" t="s">
        <v>51</v>
      </c>
      <c r="O126" s="31">
        <f t="shared" si="3"/>
        <v>874275</v>
      </c>
      <c r="P126" s="31">
        <v>0</v>
      </c>
      <c r="Q126" s="31">
        <v>0</v>
      </c>
      <c r="R126" s="31">
        <v>0</v>
      </c>
      <c r="S126" s="31">
        <v>0</v>
      </c>
      <c r="T126" s="31">
        <v>0</v>
      </c>
      <c r="U126" s="31">
        <v>0</v>
      </c>
      <c r="V126" s="31">
        <v>0</v>
      </c>
      <c r="W126" s="17" t="s">
        <v>509</v>
      </c>
      <c r="X126" s="17" t="s">
        <v>51</v>
      </c>
      <c r="Y126" s="2" t="s">
        <v>51</v>
      </c>
      <c r="Z126" s="2" t="s">
        <v>51</v>
      </c>
      <c r="AA126" s="32"/>
      <c r="AB126" s="2" t="s">
        <v>51</v>
      </c>
    </row>
    <row r="127" spans="1:28" ht="30" customHeight="1" x14ac:dyDescent="0.3">
      <c r="A127" s="17" t="s">
        <v>1105</v>
      </c>
      <c r="B127" s="17" t="s">
        <v>512</v>
      </c>
      <c r="C127" s="17" t="s">
        <v>513</v>
      </c>
      <c r="D127" s="30" t="s">
        <v>226</v>
      </c>
      <c r="E127" s="31">
        <v>0</v>
      </c>
      <c r="F127" s="17" t="s">
        <v>51</v>
      </c>
      <c r="G127" s="31">
        <v>0</v>
      </c>
      <c r="H127" s="17" t="s">
        <v>51</v>
      </c>
      <c r="I127" s="31">
        <v>0</v>
      </c>
      <c r="J127" s="17" t="s">
        <v>51</v>
      </c>
      <c r="K127" s="31">
        <v>0</v>
      </c>
      <c r="L127" s="17" t="s">
        <v>51</v>
      </c>
      <c r="M127" s="31">
        <v>2700000</v>
      </c>
      <c r="N127" s="17" t="s">
        <v>1027</v>
      </c>
      <c r="O127" s="31">
        <f t="shared" si="3"/>
        <v>2700000</v>
      </c>
      <c r="P127" s="31">
        <v>214939</v>
      </c>
      <c r="Q127" s="31">
        <v>0</v>
      </c>
      <c r="R127" s="31">
        <v>0</v>
      </c>
      <c r="S127" s="31">
        <v>0</v>
      </c>
      <c r="T127" s="31">
        <v>0</v>
      </c>
      <c r="U127" s="31">
        <v>0</v>
      </c>
      <c r="V127" s="31">
        <v>0</v>
      </c>
      <c r="W127" s="17" t="s">
        <v>514</v>
      </c>
      <c r="X127" s="17" t="s">
        <v>51</v>
      </c>
      <c r="Y127" s="2" t="s">
        <v>51</v>
      </c>
      <c r="Z127" s="2" t="s">
        <v>51</v>
      </c>
      <c r="AA127" s="32"/>
      <c r="AB127" s="2" t="s">
        <v>51</v>
      </c>
    </row>
    <row r="128" spans="1:28" ht="30" customHeight="1" x14ac:dyDescent="0.3">
      <c r="A128" s="17" t="s">
        <v>1106</v>
      </c>
      <c r="B128" s="17" t="s">
        <v>418</v>
      </c>
      <c r="C128" s="17" t="s">
        <v>419</v>
      </c>
      <c r="D128" s="30" t="s">
        <v>187</v>
      </c>
      <c r="E128" s="31">
        <v>0</v>
      </c>
      <c r="F128" s="17" t="s">
        <v>51</v>
      </c>
      <c r="G128" s="31">
        <v>0</v>
      </c>
      <c r="H128" s="17" t="s">
        <v>51</v>
      </c>
      <c r="I128" s="31">
        <v>0</v>
      </c>
      <c r="J128" s="17" t="s">
        <v>51</v>
      </c>
      <c r="K128" s="31">
        <v>0</v>
      </c>
      <c r="L128" s="17" t="s">
        <v>51</v>
      </c>
      <c r="M128" s="31">
        <v>550</v>
      </c>
      <c r="N128" s="17" t="s">
        <v>1081</v>
      </c>
      <c r="O128" s="31">
        <f t="shared" si="3"/>
        <v>550</v>
      </c>
      <c r="P128" s="31">
        <v>22089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31">
        <v>0</v>
      </c>
      <c r="W128" s="17" t="s">
        <v>517</v>
      </c>
      <c r="X128" s="17" t="s">
        <v>51</v>
      </c>
      <c r="Y128" s="2" t="s">
        <v>51</v>
      </c>
      <c r="Z128" s="2" t="s">
        <v>51</v>
      </c>
      <c r="AA128" s="32"/>
      <c r="AB128" s="2" t="s">
        <v>51</v>
      </c>
    </row>
    <row r="129" spans="1:28" ht="30" customHeight="1" x14ac:dyDescent="0.3">
      <c r="A129" s="17" t="s">
        <v>1107</v>
      </c>
      <c r="B129" s="17" t="s">
        <v>457</v>
      </c>
      <c r="C129" s="17" t="s">
        <v>251</v>
      </c>
      <c r="D129" s="30" t="s">
        <v>57</v>
      </c>
      <c r="E129" s="31">
        <v>0</v>
      </c>
      <c r="F129" s="17" t="s">
        <v>51</v>
      </c>
      <c r="G129" s="31">
        <v>0</v>
      </c>
      <c r="H129" s="17" t="s">
        <v>51</v>
      </c>
      <c r="I129" s="31">
        <v>0</v>
      </c>
      <c r="J129" s="17" t="s">
        <v>51</v>
      </c>
      <c r="K129" s="31">
        <v>0</v>
      </c>
      <c r="L129" s="17" t="s">
        <v>51</v>
      </c>
      <c r="M129" s="31">
        <v>6000</v>
      </c>
      <c r="N129" s="17" t="s">
        <v>1045</v>
      </c>
      <c r="O129" s="31">
        <f t="shared" si="3"/>
        <v>6000</v>
      </c>
      <c r="P129" s="31">
        <v>4008</v>
      </c>
      <c r="Q129" s="31">
        <v>0</v>
      </c>
      <c r="R129" s="31">
        <v>0</v>
      </c>
      <c r="S129" s="31">
        <v>0</v>
      </c>
      <c r="T129" s="31">
        <v>0</v>
      </c>
      <c r="U129" s="31">
        <v>0</v>
      </c>
      <c r="V129" s="31">
        <v>0</v>
      </c>
      <c r="W129" s="17" t="s">
        <v>520</v>
      </c>
      <c r="X129" s="17" t="s">
        <v>51</v>
      </c>
      <c r="Y129" s="2" t="s">
        <v>51</v>
      </c>
      <c r="Z129" s="2" t="s">
        <v>51</v>
      </c>
      <c r="AA129" s="32"/>
      <c r="AB129" s="2" t="s">
        <v>51</v>
      </c>
    </row>
    <row r="130" spans="1:28" ht="30" customHeight="1" x14ac:dyDescent="0.3">
      <c r="A130" s="17" t="s">
        <v>1108</v>
      </c>
      <c r="B130" s="17" t="s">
        <v>523</v>
      </c>
      <c r="C130" s="17" t="s">
        <v>502</v>
      </c>
      <c r="D130" s="30" t="s">
        <v>503</v>
      </c>
      <c r="E130" s="31">
        <v>0</v>
      </c>
      <c r="F130" s="17" t="s">
        <v>51</v>
      </c>
      <c r="G130" s="31">
        <v>0</v>
      </c>
      <c r="H130" s="17" t="s">
        <v>51</v>
      </c>
      <c r="I130" s="31">
        <v>0</v>
      </c>
      <c r="J130" s="17" t="s">
        <v>51</v>
      </c>
      <c r="K130" s="31">
        <v>0</v>
      </c>
      <c r="L130" s="17" t="s">
        <v>51</v>
      </c>
      <c r="M130" s="31">
        <v>1260</v>
      </c>
      <c r="N130" s="17" t="s">
        <v>51</v>
      </c>
      <c r="O130" s="31">
        <f t="shared" si="3"/>
        <v>1260</v>
      </c>
      <c r="P130" s="31">
        <v>0</v>
      </c>
      <c r="Q130" s="31">
        <v>0</v>
      </c>
      <c r="R130" s="31">
        <v>0</v>
      </c>
      <c r="S130" s="31">
        <v>0</v>
      </c>
      <c r="T130" s="31">
        <v>0</v>
      </c>
      <c r="U130" s="31">
        <v>0</v>
      </c>
      <c r="V130" s="31">
        <v>0</v>
      </c>
      <c r="W130" s="17" t="s">
        <v>524</v>
      </c>
      <c r="X130" s="17" t="s">
        <v>51</v>
      </c>
      <c r="Y130" s="2" t="s">
        <v>51</v>
      </c>
      <c r="Z130" s="2" t="s">
        <v>51</v>
      </c>
      <c r="AA130" s="32"/>
      <c r="AB130" s="2" t="s">
        <v>51</v>
      </c>
    </row>
    <row r="131" spans="1:28" ht="30" customHeight="1" x14ac:dyDescent="0.3">
      <c r="A131" s="17" t="s">
        <v>1109</v>
      </c>
      <c r="B131" s="17" t="s">
        <v>527</v>
      </c>
      <c r="C131" s="17" t="s">
        <v>508</v>
      </c>
      <c r="D131" s="30" t="s">
        <v>503</v>
      </c>
      <c r="E131" s="31">
        <v>0</v>
      </c>
      <c r="F131" s="17" t="s">
        <v>51</v>
      </c>
      <c r="G131" s="31">
        <v>0</v>
      </c>
      <c r="H131" s="17" t="s">
        <v>51</v>
      </c>
      <c r="I131" s="31">
        <v>0</v>
      </c>
      <c r="J131" s="17" t="s">
        <v>51</v>
      </c>
      <c r="K131" s="31">
        <v>0</v>
      </c>
      <c r="L131" s="17" t="s">
        <v>51</v>
      </c>
      <c r="M131" s="31">
        <v>16567</v>
      </c>
      <c r="N131" s="17" t="s">
        <v>51</v>
      </c>
      <c r="O131" s="31">
        <f t="shared" si="3"/>
        <v>16567</v>
      </c>
      <c r="P131" s="31">
        <v>0</v>
      </c>
      <c r="Q131" s="31">
        <v>0</v>
      </c>
      <c r="R131" s="31">
        <v>0</v>
      </c>
      <c r="S131" s="31">
        <v>0</v>
      </c>
      <c r="T131" s="31">
        <v>0</v>
      </c>
      <c r="U131" s="31">
        <v>0</v>
      </c>
      <c r="V131" s="31">
        <v>0</v>
      </c>
      <c r="W131" s="17" t="s">
        <v>528</v>
      </c>
      <c r="X131" s="17" t="s">
        <v>51</v>
      </c>
      <c r="Y131" s="2" t="s">
        <v>51</v>
      </c>
      <c r="Z131" s="2" t="s">
        <v>51</v>
      </c>
      <c r="AA131" s="32"/>
      <c r="AB131" s="2" t="s">
        <v>51</v>
      </c>
    </row>
    <row r="132" spans="1:28" ht="30" customHeight="1" x14ac:dyDescent="0.3">
      <c r="A132" s="17" t="s">
        <v>1110</v>
      </c>
      <c r="B132" s="17" t="s">
        <v>533</v>
      </c>
      <c r="C132" s="17" t="s">
        <v>534</v>
      </c>
      <c r="D132" s="30" t="s">
        <v>535</v>
      </c>
      <c r="E132" s="31">
        <v>0</v>
      </c>
      <c r="F132" s="17" t="s">
        <v>51</v>
      </c>
      <c r="G132" s="31">
        <v>0</v>
      </c>
      <c r="H132" s="17" t="s">
        <v>51</v>
      </c>
      <c r="I132" s="31">
        <v>0</v>
      </c>
      <c r="J132" s="17" t="s">
        <v>51</v>
      </c>
      <c r="K132" s="31">
        <v>0</v>
      </c>
      <c r="L132" s="17" t="s">
        <v>51</v>
      </c>
      <c r="M132" s="31">
        <v>0</v>
      </c>
      <c r="N132" s="17" t="s">
        <v>51</v>
      </c>
      <c r="O132" s="31">
        <v>0</v>
      </c>
      <c r="P132" s="31">
        <v>77212</v>
      </c>
      <c r="Q132" s="31">
        <v>0</v>
      </c>
      <c r="R132" s="31">
        <v>0</v>
      </c>
      <c r="S132" s="31">
        <v>0</v>
      </c>
      <c r="T132" s="31">
        <v>0</v>
      </c>
      <c r="U132" s="31">
        <v>0</v>
      </c>
      <c r="V132" s="31">
        <v>0</v>
      </c>
      <c r="W132" s="17" t="s">
        <v>536</v>
      </c>
      <c r="X132" s="17" t="s">
        <v>51</v>
      </c>
      <c r="Y132" s="2" t="s">
        <v>51</v>
      </c>
      <c r="Z132" s="2" t="s">
        <v>51</v>
      </c>
      <c r="AA132" s="32"/>
      <c r="AB132" s="2" t="s">
        <v>51</v>
      </c>
    </row>
    <row r="133" spans="1:28" ht="30" customHeight="1" x14ac:dyDescent="0.3">
      <c r="A133" s="17" t="s">
        <v>1111</v>
      </c>
      <c r="B133" s="17" t="s">
        <v>539</v>
      </c>
      <c r="C133" s="17" t="s">
        <v>540</v>
      </c>
      <c r="D133" s="30" t="s">
        <v>93</v>
      </c>
      <c r="E133" s="31">
        <v>0</v>
      </c>
      <c r="F133" s="17" t="s">
        <v>51</v>
      </c>
      <c r="G133" s="31">
        <v>0</v>
      </c>
      <c r="H133" s="17" t="s">
        <v>51</v>
      </c>
      <c r="I133" s="31">
        <v>0</v>
      </c>
      <c r="J133" s="17" t="s">
        <v>51</v>
      </c>
      <c r="K133" s="31">
        <v>0</v>
      </c>
      <c r="L133" s="17" t="s">
        <v>51</v>
      </c>
      <c r="M133" s="31">
        <v>0</v>
      </c>
      <c r="N133" s="17" t="s">
        <v>51</v>
      </c>
      <c r="O133" s="31">
        <v>0</v>
      </c>
      <c r="P133" s="31">
        <v>154425</v>
      </c>
      <c r="Q133" s="31">
        <v>0</v>
      </c>
      <c r="R133" s="31">
        <v>0</v>
      </c>
      <c r="S133" s="31">
        <v>0</v>
      </c>
      <c r="T133" s="31">
        <v>0</v>
      </c>
      <c r="U133" s="31">
        <v>0</v>
      </c>
      <c r="V133" s="31">
        <v>0</v>
      </c>
      <c r="W133" s="17" t="s">
        <v>541</v>
      </c>
      <c r="X133" s="17" t="s">
        <v>51</v>
      </c>
      <c r="Y133" s="2" t="s">
        <v>51</v>
      </c>
      <c r="Z133" s="2" t="s">
        <v>51</v>
      </c>
      <c r="AA133" s="32"/>
      <c r="AB133" s="2" t="s">
        <v>51</v>
      </c>
    </row>
    <row r="134" spans="1:28" ht="30" customHeight="1" x14ac:dyDescent="0.3">
      <c r="A134" s="17" t="s">
        <v>1112</v>
      </c>
      <c r="B134" s="17" t="s">
        <v>544</v>
      </c>
      <c r="C134" s="17" t="s">
        <v>545</v>
      </c>
      <c r="D134" s="30" t="s">
        <v>93</v>
      </c>
      <c r="E134" s="31">
        <v>0</v>
      </c>
      <c r="F134" s="17" t="s">
        <v>51</v>
      </c>
      <c r="G134" s="31">
        <v>0</v>
      </c>
      <c r="H134" s="17" t="s">
        <v>51</v>
      </c>
      <c r="I134" s="31">
        <v>0</v>
      </c>
      <c r="J134" s="17" t="s">
        <v>51</v>
      </c>
      <c r="K134" s="31">
        <v>0</v>
      </c>
      <c r="L134" s="17" t="s">
        <v>51</v>
      </c>
      <c r="M134" s="31">
        <v>0</v>
      </c>
      <c r="N134" s="17" t="s">
        <v>51</v>
      </c>
      <c r="O134" s="31">
        <v>0</v>
      </c>
      <c r="P134" s="31">
        <v>77212</v>
      </c>
      <c r="Q134" s="31">
        <v>0</v>
      </c>
      <c r="R134" s="31">
        <v>0</v>
      </c>
      <c r="S134" s="31">
        <v>0</v>
      </c>
      <c r="T134" s="31">
        <v>0</v>
      </c>
      <c r="U134" s="31">
        <v>0</v>
      </c>
      <c r="V134" s="31">
        <v>0</v>
      </c>
      <c r="W134" s="17" t="s">
        <v>546</v>
      </c>
      <c r="X134" s="17" t="s">
        <v>51</v>
      </c>
      <c r="Y134" s="2" t="s">
        <v>51</v>
      </c>
      <c r="Z134" s="2" t="s">
        <v>51</v>
      </c>
      <c r="AA134" s="32"/>
      <c r="AB134" s="2" t="s">
        <v>51</v>
      </c>
    </row>
    <row r="135" spans="1:28" ht="30" customHeight="1" x14ac:dyDescent="0.3">
      <c r="A135" s="17" t="s">
        <v>1113</v>
      </c>
      <c r="B135" s="17" t="s">
        <v>549</v>
      </c>
      <c r="C135" s="17" t="s">
        <v>540</v>
      </c>
      <c r="D135" s="30" t="s">
        <v>74</v>
      </c>
      <c r="E135" s="31">
        <v>0</v>
      </c>
      <c r="F135" s="17" t="s">
        <v>51</v>
      </c>
      <c r="G135" s="31">
        <v>0</v>
      </c>
      <c r="H135" s="17" t="s">
        <v>51</v>
      </c>
      <c r="I135" s="31">
        <v>0</v>
      </c>
      <c r="J135" s="17" t="s">
        <v>51</v>
      </c>
      <c r="K135" s="31">
        <v>0</v>
      </c>
      <c r="L135" s="17" t="s">
        <v>51</v>
      </c>
      <c r="M135" s="31">
        <v>0</v>
      </c>
      <c r="N135" s="17" t="s">
        <v>51</v>
      </c>
      <c r="O135" s="31">
        <v>0</v>
      </c>
      <c r="P135" s="31">
        <v>24332</v>
      </c>
      <c r="Q135" s="31">
        <v>0</v>
      </c>
      <c r="R135" s="31">
        <v>0</v>
      </c>
      <c r="S135" s="31">
        <v>0</v>
      </c>
      <c r="T135" s="31">
        <v>0</v>
      </c>
      <c r="U135" s="31">
        <v>0</v>
      </c>
      <c r="V135" s="31">
        <v>0</v>
      </c>
      <c r="W135" s="17" t="s">
        <v>550</v>
      </c>
      <c r="X135" s="17" t="s">
        <v>51</v>
      </c>
      <c r="Y135" s="2" t="s">
        <v>51</v>
      </c>
      <c r="Z135" s="2" t="s">
        <v>51</v>
      </c>
      <c r="AA135" s="32"/>
      <c r="AB135" s="2" t="s">
        <v>51</v>
      </c>
    </row>
    <row r="136" spans="1:28" ht="30" customHeight="1" x14ac:dyDescent="0.3">
      <c r="A136" s="17" t="s">
        <v>1114</v>
      </c>
      <c r="B136" s="17" t="s">
        <v>549</v>
      </c>
      <c r="C136" s="17" t="s">
        <v>315</v>
      </c>
      <c r="D136" s="30" t="s">
        <v>74</v>
      </c>
      <c r="E136" s="31">
        <v>0</v>
      </c>
      <c r="F136" s="17" t="s">
        <v>51</v>
      </c>
      <c r="G136" s="31">
        <v>0</v>
      </c>
      <c r="H136" s="17" t="s">
        <v>51</v>
      </c>
      <c r="I136" s="31">
        <v>0</v>
      </c>
      <c r="J136" s="17" t="s">
        <v>51</v>
      </c>
      <c r="K136" s="31">
        <v>0</v>
      </c>
      <c r="L136" s="17" t="s">
        <v>51</v>
      </c>
      <c r="M136" s="31">
        <v>0</v>
      </c>
      <c r="N136" s="17" t="s">
        <v>51</v>
      </c>
      <c r="O136" s="31">
        <v>0</v>
      </c>
      <c r="P136" s="31">
        <v>19210</v>
      </c>
      <c r="Q136" s="31">
        <v>0</v>
      </c>
      <c r="R136" s="31">
        <v>0</v>
      </c>
      <c r="S136" s="31">
        <v>0</v>
      </c>
      <c r="T136" s="31">
        <v>0</v>
      </c>
      <c r="U136" s="31">
        <v>0</v>
      </c>
      <c r="V136" s="31">
        <v>0</v>
      </c>
      <c r="W136" s="17" t="s">
        <v>553</v>
      </c>
      <c r="X136" s="17" t="s">
        <v>51</v>
      </c>
      <c r="Y136" s="2" t="s">
        <v>51</v>
      </c>
      <c r="Z136" s="2" t="s">
        <v>51</v>
      </c>
      <c r="AA136" s="32"/>
      <c r="AB136" s="2" t="s">
        <v>51</v>
      </c>
    </row>
    <row r="137" spans="1:28" ht="30" customHeight="1" x14ac:dyDescent="0.3">
      <c r="A137" s="17" t="s">
        <v>1115</v>
      </c>
      <c r="B137" s="17" t="s">
        <v>549</v>
      </c>
      <c r="C137" s="17" t="s">
        <v>273</v>
      </c>
      <c r="D137" s="30" t="s">
        <v>74</v>
      </c>
      <c r="E137" s="31">
        <v>0</v>
      </c>
      <c r="F137" s="17" t="s">
        <v>51</v>
      </c>
      <c r="G137" s="31">
        <v>0</v>
      </c>
      <c r="H137" s="17" t="s">
        <v>51</v>
      </c>
      <c r="I137" s="31">
        <v>0</v>
      </c>
      <c r="J137" s="17" t="s">
        <v>51</v>
      </c>
      <c r="K137" s="31">
        <v>0</v>
      </c>
      <c r="L137" s="17" t="s">
        <v>51</v>
      </c>
      <c r="M137" s="31">
        <v>0</v>
      </c>
      <c r="N137" s="17" t="s">
        <v>51</v>
      </c>
      <c r="O137" s="31">
        <v>0</v>
      </c>
      <c r="P137" s="31">
        <v>12877</v>
      </c>
      <c r="Q137" s="31">
        <v>0</v>
      </c>
      <c r="R137" s="31">
        <v>0</v>
      </c>
      <c r="S137" s="31">
        <v>0</v>
      </c>
      <c r="T137" s="31">
        <v>0</v>
      </c>
      <c r="U137" s="31">
        <v>0</v>
      </c>
      <c r="V137" s="31">
        <v>0</v>
      </c>
      <c r="W137" s="17" t="s">
        <v>556</v>
      </c>
      <c r="X137" s="17" t="s">
        <v>51</v>
      </c>
      <c r="Y137" s="2" t="s">
        <v>51</v>
      </c>
      <c r="Z137" s="2" t="s">
        <v>51</v>
      </c>
      <c r="AA137" s="32"/>
      <c r="AB137" s="2" t="s">
        <v>51</v>
      </c>
    </row>
    <row r="138" spans="1:28" ht="30" customHeight="1" x14ac:dyDescent="0.3">
      <c r="A138" s="17" t="s">
        <v>1116</v>
      </c>
      <c r="B138" s="17" t="s">
        <v>549</v>
      </c>
      <c r="C138" s="17" t="s">
        <v>559</v>
      </c>
      <c r="D138" s="30" t="s">
        <v>74</v>
      </c>
      <c r="E138" s="31">
        <v>0</v>
      </c>
      <c r="F138" s="17" t="s">
        <v>51</v>
      </c>
      <c r="G138" s="31">
        <v>0</v>
      </c>
      <c r="H138" s="17" t="s">
        <v>51</v>
      </c>
      <c r="I138" s="31">
        <v>0</v>
      </c>
      <c r="J138" s="17" t="s">
        <v>51</v>
      </c>
      <c r="K138" s="31">
        <v>0</v>
      </c>
      <c r="L138" s="17" t="s">
        <v>51</v>
      </c>
      <c r="M138" s="31">
        <v>0</v>
      </c>
      <c r="N138" s="17" t="s">
        <v>51</v>
      </c>
      <c r="O138" s="31">
        <v>0</v>
      </c>
      <c r="P138" s="31">
        <v>11665</v>
      </c>
      <c r="Q138" s="31">
        <v>0</v>
      </c>
      <c r="R138" s="31">
        <v>0</v>
      </c>
      <c r="S138" s="31">
        <v>0</v>
      </c>
      <c r="T138" s="31">
        <v>0</v>
      </c>
      <c r="U138" s="31">
        <v>0</v>
      </c>
      <c r="V138" s="31">
        <v>0</v>
      </c>
      <c r="W138" s="17" t="s">
        <v>560</v>
      </c>
      <c r="X138" s="17" t="s">
        <v>51</v>
      </c>
      <c r="Y138" s="2" t="s">
        <v>51</v>
      </c>
      <c r="Z138" s="2" t="s">
        <v>51</v>
      </c>
      <c r="AA138" s="32"/>
      <c r="AB138" s="2" t="s">
        <v>51</v>
      </c>
    </row>
    <row r="139" spans="1:28" ht="30" customHeight="1" x14ac:dyDescent="0.3">
      <c r="A139" s="17" t="s">
        <v>1117</v>
      </c>
      <c r="B139" s="17" t="s">
        <v>549</v>
      </c>
      <c r="C139" s="17" t="s">
        <v>563</v>
      </c>
      <c r="D139" s="30" t="s">
        <v>74</v>
      </c>
      <c r="E139" s="31">
        <v>0</v>
      </c>
      <c r="F139" s="17" t="s">
        <v>51</v>
      </c>
      <c r="G139" s="31">
        <v>0</v>
      </c>
      <c r="H139" s="17" t="s">
        <v>51</v>
      </c>
      <c r="I139" s="31">
        <v>0</v>
      </c>
      <c r="J139" s="17" t="s">
        <v>51</v>
      </c>
      <c r="K139" s="31">
        <v>0</v>
      </c>
      <c r="L139" s="17" t="s">
        <v>51</v>
      </c>
      <c r="M139" s="31">
        <v>0</v>
      </c>
      <c r="N139" s="17" t="s">
        <v>51</v>
      </c>
      <c r="O139" s="31">
        <v>0</v>
      </c>
      <c r="P139" s="31">
        <v>10013</v>
      </c>
      <c r="Q139" s="31">
        <v>0</v>
      </c>
      <c r="R139" s="31">
        <v>0</v>
      </c>
      <c r="S139" s="31">
        <v>0</v>
      </c>
      <c r="T139" s="31">
        <v>0</v>
      </c>
      <c r="U139" s="31">
        <v>0</v>
      </c>
      <c r="V139" s="31">
        <v>0</v>
      </c>
      <c r="W139" s="17" t="s">
        <v>564</v>
      </c>
      <c r="X139" s="17" t="s">
        <v>51</v>
      </c>
      <c r="Y139" s="2" t="s">
        <v>51</v>
      </c>
      <c r="Z139" s="2" t="s">
        <v>51</v>
      </c>
      <c r="AA139" s="32"/>
      <c r="AB139" s="2" t="s">
        <v>51</v>
      </c>
    </row>
    <row r="140" spans="1:28" ht="30" customHeight="1" x14ac:dyDescent="0.3">
      <c r="A140" s="17" t="s">
        <v>1118</v>
      </c>
      <c r="B140" s="17" t="s">
        <v>567</v>
      </c>
      <c r="C140" s="17" t="s">
        <v>563</v>
      </c>
      <c r="D140" s="30" t="s">
        <v>187</v>
      </c>
      <c r="E140" s="31">
        <v>0</v>
      </c>
      <c r="F140" s="17" t="s">
        <v>51</v>
      </c>
      <c r="G140" s="31">
        <v>0</v>
      </c>
      <c r="H140" s="17" t="s">
        <v>51</v>
      </c>
      <c r="I140" s="31">
        <v>0</v>
      </c>
      <c r="J140" s="17" t="s">
        <v>51</v>
      </c>
      <c r="K140" s="31">
        <v>0</v>
      </c>
      <c r="L140" s="17" t="s">
        <v>51</v>
      </c>
      <c r="M140" s="31">
        <v>0</v>
      </c>
      <c r="N140" s="17" t="s">
        <v>51</v>
      </c>
      <c r="O140" s="31">
        <v>0</v>
      </c>
      <c r="P140" s="31">
        <v>26152</v>
      </c>
      <c r="Q140" s="31">
        <v>0</v>
      </c>
      <c r="R140" s="31">
        <v>0</v>
      </c>
      <c r="S140" s="31">
        <v>0</v>
      </c>
      <c r="T140" s="31">
        <v>0</v>
      </c>
      <c r="U140" s="31">
        <v>0</v>
      </c>
      <c r="V140" s="31">
        <v>0</v>
      </c>
      <c r="W140" s="17" t="s">
        <v>568</v>
      </c>
      <c r="X140" s="17" t="s">
        <v>51</v>
      </c>
      <c r="Y140" s="2" t="s">
        <v>51</v>
      </c>
      <c r="Z140" s="2" t="s">
        <v>51</v>
      </c>
      <c r="AA140" s="32"/>
      <c r="AB140" s="2" t="s">
        <v>51</v>
      </c>
    </row>
    <row r="141" spans="1:28" ht="30" customHeight="1" x14ac:dyDescent="0.3">
      <c r="A141" s="17" t="s">
        <v>1119</v>
      </c>
      <c r="B141" s="17" t="s">
        <v>571</v>
      </c>
      <c r="C141" s="17" t="s">
        <v>508</v>
      </c>
      <c r="D141" s="30" t="s">
        <v>503</v>
      </c>
      <c r="E141" s="31">
        <v>0</v>
      </c>
      <c r="F141" s="17" t="s">
        <v>51</v>
      </c>
      <c r="G141" s="31">
        <v>0</v>
      </c>
      <c r="H141" s="17" t="s">
        <v>51</v>
      </c>
      <c r="I141" s="31">
        <v>0</v>
      </c>
      <c r="J141" s="17" t="s">
        <v>51</v>
      </c>
      <c r="K141" s="31">
        <v>0</v>
      </c>
      <c r="L141" s="17" t="s">
        <v>51</v>
      </c>
      <c r="M141" s="31">
        <v>177644</v>
      </c>
      <c r="N141" s="17" t="s">
        <v>51</v>
      </c>
      <c r="O141" s="31">
        <f>SMALL(E141:M141,COUNTIF(E141:M141,0)+1)</f>
        <v>177644</v>
      </c>
      <c r="P141" s="31">
        <v>0</v>
      </c>
      <c r="Q141" s="31">
        <v>0</v>
      </c>
      <c r="R141" s="31">
        <v>0</v>
      </c>
      <c r="S141" s="31">
        <v>0</v>
      </c>
      <c r="T141" s="31">
        <v>0</v>
      </c>
      <c r="U141" s="31">
        <v>0</v>
      </c>
      <c r="V141" s="31">
        <v>0</v>
      </c>
      <c r="W141" s="17" t="s">
        <v>572</v>
      </c>
      <c r="X141" s="17" t="s">
        <v>51</v>
      </c>
      <c r="Y141" s="2" t="s">
        <v>51</v>
      </c>
      <c r="Z141" s="2" t="s">
        <v>51</v>
      </c>
      <c r="AA141" s="32"/>
      <c r="AB141" s="2" t="s">
        <v>51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41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이름이 지정된 범위</vt:lpstr>
      </vt:variant>
      <vt:variant>
        <vt:i4>21</vt:i4>
      </vt:variant>
    </vt:vector>
  </HeadingPairs>
  <TitlesOfParts>
    <vt:vector size="36" baseType="lpstr">
      <vt:lpstr>원가계산서</vt:lpstr>
      <vt:lpstr>공종별집계표</vt:lpstr>
      <vt:lpstr>공종별내역서(소방전기)</vt:lpstr>
      <vt:lpstr>공종별내역서(할로겐)</vt:lpstr>
      <vt:lpstr>공종별내역서(철거)</vt:lpstr>
      <vt:lpstr>일위대가목록</vt:lpstr>
      <vt:lpstr>일위대가</vt:lpstr>
      <vt:lpstr>공량산출근거서</vt:lpstr>
      <vt:lpstr>산출조사서(소방전기)</vt:lpstr>
      <vt:lpstr>공량설정</vt:lpstr>
      <vt:lpstr> 공사설정 </vt:lpstr>
      <vt:lpstr>수량산출서(소방기계)</vt:lpstr>
      <vt:lpstr>산출조사서(소방기계)</vt:lpstr>
      <vt:lpstr>산출조사서(철거공사)</vt:lpstr>
      <vt:lpstr>단가대비표</vt:lpstr>
      <vt:lpstr>공량산출근거서!Print_Area</vt:lpstr>
      <vt:lpstr>'공종별내역서(소방전기)'!Print_Area</vt:lpstr>
      <vt:lpstr>'공종별내역서(철거)'!Print_Area</vt:lpstr>
      <vt:lpstr>'공종별내역서(할로겐)'!Print_Area</vt:lpstr>
      <vt:lpstr>공종별집계표!Print_Area</vt:lpstr>
      <vt:lpstr>단가대비표!Print_Area</vt:lpstr>
      <vt:lpstr>일위대가!Print_Area</vt:lpstr>
      <vt:lpstr>일위대가목록!Print_Area</vt:lpstr>
      <vt:lpstr>공량산출근거서!Print_Titles</vt:lpstr>
      <vt:lpstr>'공종별내역서(소방전기)'!Print_Titles</vt:lpstr>
      <vt:lpstr>'공종별내역서(철거)'!Print_Titles</vt:lpstr>
      <vt:lpstr>'공종별내역서(할로겐)'!Print_Titles</vt:lpstr>
      <vt:lpstr>공종별집계표!Print_Titles</vt:lpstr>
      <vt:lpstr>단가대비표!Print_Titles</vt:lpstr>
      <vt:lpstr>'산출조사서(소방기계)'!Print_Titles</vt:lpstr>
      <vt:lpstr>'산출조사서(소방전기)'!Print_Titles</vt:lpstr>
      <vt:lpstr>'산출조사서(철거공사)'!Print_Titles</vt:lpstr>
      <vt:lpstr>'수량산출서(소방기계)'!Print_Titles</vt:lpstr>
      <vt:lpstr>원가계산서!Print_Titles</vt:lpstr>
      <vt:lpstr>일위대가!Print_Titles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한길</dc:creator>
  <cp:lastModifiedBy>kogas</cp:lastModifiedBy>
  <cp:lastPrinted>2026-09-23T01:35:29Z</cp:lastPrinted>
  <dcterms:created xsi:type="dcterms:W3CDTF">2026-09-22T04:50:58Z</dcterms:created>
  <dcterms:modified xsi:type="dcterms:W3CDTF">2026-09-29T07:22:44Z</dcterms:modified>
</cp:coreProperties>
</file>